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CP2 (2020 materials)\CP2 Mock 2 Paper 2\"/>
    </mc:Choice>
  </mc:AlternateContent>
  <xr:revisionPtr revIDLastSave="0" documentId="13_ncr:1_{63959982-8C7C-4A20-B49F-2C586C47E8EC}" xr6:coauthVersionLast="45" xr6:coauthVersionMax="45" xr10:uidLastSave="{00000000-0000-0000-0000-000000000000}"/>
  <bookViews>
    <workbookView xWindow="-120" yWindow="-120" windowWidth="29040" windowHeight="15840" tabRatio="700" xr2:uid="{00000000-000D-0000-FFFF-FFFF00000000}"/>
  </bookViews>
  <sheets>
    <sheet name="Data" sheetId="1" r:id="rId1"/>
    <sheet name="Parameters" sheetId="9" r:id="rId2"/>
    <sheet name="Base Price" sheetId="2" r:id="rId3"/>
    <sheet name="Combined Admin" sheetId="3" r:id="rId4"/>
    <sheet name="Improvement works" sheetId="10" r:id="rId5"/>
  </sheets>
  <externalReferences>
    <externalReference r:id="rId6"/>
  </externalReferences>
  <definedNames>
    <definedName name="admin_saving">Parameters!$C$6</definedName>
    <definedName name="admin_saving_year">Parameters!$F$6</definedName>
    <definedName name="Base_Price">'Base Price'!$AJ$3</definedName>
    <definedName name="disc_rate">Parameters!$C$4</definedName>
    <definedName name="fixed_exp">Parameters!$C$5</definedName>
    <definedName name="imp_cost">Parameters!$C$7</definedName>
    <definedName name="imp_cost_year">Parameters!$F$7</definedName>
    <definedName name="loan">[1]Parameters!$C$9</definedName>
    <definedName name="refund_inc">Parameters!$C$8</definedName>
    <definedName name="refund_inc_year">Parameters!$F$8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27" i="10" l="1"/>
  <c r="Q19" i="10"/>
  <c r="Q31" i="10"/>
  <c r="Q43" i="10"/>
  <c r="Q55" i="10"/>
  <c r="Q67" i="10"/>
  <c r="Q79" i="10"/>
  <c r="Q91" i="10"/>
  <c r="Q103" i="10"/>
  <c r="Q115" i="10"/>
  <c r="Q127" i="10"/>
  <c r="K19" i="10"/>
  <c r="K31" i="10"/>
  <c r="K43" i="10"/>
  <c r="K55" i="10"/>
  <c r="K67" i="10"/>
  <c r="K79" i="10"/>
  <c r="K91" i="10"/>
  <c r="K103" i="10"/>
  <c r="K115" i="10"/>
  <c r="K127" i="10"/>
  <c r="E19" i="10"/>
  <c r="E31" i="10"/>
  <c r="B127" i="10"/>
  <c r="E127" i="10" s="1"/>
  <c r="B126" i="10"/>
  <c r="B125" i="10"/>
  <c r="B124" i="10"/>
  <c r="AC124" i="10" s="1"/>
  <c r="B123" i="10"/>
  <c r="E123" i="10" s="1"/>
  <c r="B122" i="10"/>
  <c r="AC122" i="10" s="1"/>
  <c r="B121" i="10"/>
  <c r="AC121" i="10" s="1"/>
  <c r="B120" i="10"/>
  <c r="B119" i="10"/>
  <c r="B118" i="10"/>
  <c r="AC118" i="10" s="1"/>
  <c r="B117" i="10"/>
  <c r="E117" i="10" s="1"/>
  <c r="B116" i="10"/>
  <c r="E116" i="10" s="1"/>
  <c r="B115" i="10"/>
  <c r="E115" i="10" s="1"/>
  <c r="B114" i="10"/>
  <c r="B113" i="10"/>
  <c r="B112" i="10"/>
  <c r="AC112" i="10" s="1"/>
  <c r="B111" i="10"/>
  <c r="E111" i="10" s="1"/>
  <c r="B110" i="10"/>
  <c r="AC110" i="10" s="1"/>
  <c r="B109" i="10"/>
  <c r="AC109" i="10" s="1"/>
  <c r="B108" i="10"/>
  <c r="B107" i="10"/>
  <c r="B106" i="10"/>
  <c r="AC106" i="10" s="1"/>
  <c r="B105" i="10"/>
  <c r="E105" i="10" s="1"/>
  <c r="B104" i="10"/>
  <c r="E104" i="10" s="1"/>
  <c r="B103" i="10"/>
  <c r="E103" i="10" s="1"/>
  <c r="B102" i="10"/>
  <c r="B101" i="10"/>
  <c r="B100" i="10"/>
  <c r="AC100" i="10" s="1"/>
  <c r="B99" i="10"/>
  <c r="E99" i="10" s="1"/>
  <c r="B98" i="10"/>
  <c r="AC98" i="10" s="1"/>
  <c r="B97" i="10"/>
  <c r="AC97" i="10" s="1"/>
  <c r="B96" i="10"/>
  <c r="B95" i="10"/>
  <c r="B94" i="10"/>
  <c r="AC94" i="10" s="1"/>
  <c r="B93" i="10"/>
  <c r="E93" i="10" s="1"/>
  <c r="B92" i="10"/>
  <c r="E92" i="10" s="1"/>
  <c r="B91" i="10"/>
  <c r="E91" i="10" s="1"/>
  <c r="B90" i="10"/>
  <c r="B89" i="10"/>
  <c r="B88" i="10"/>
  <c r="AC88" i="10" s="1"/>
  <c r="B87" i="10"/>
  <c r="E87" i="10" s="1"/>
  <c r="B86" i="10"/>
  <c r="AC86" i="10" s="1"/>
  <c r="B85" i="10"/>
  <c r="AC85" i="10" s="1"/>
  <c r="B84" i="10"/>
  <c r="B83" i="10"/>
  <c r="B82" i="10"/>
  <c r="AC82" i="10" s="1"/>
  <c r="B81" i="10"/>
  <c r="E81" i="10" s="1"/>
  <c r="B80" i="10"/>
  <c r="E80" i="10" s="1"/>
  <c r="B79" i="10"/>
  <c r="E79" i="10" s="1"/>
  <c r="B78" i="10"/>
  <c r="B77" i="10"/>
  <c r="B76" i="10"/>
  <c r="AC76" i="10" s="1"/>
  <c r="B75" i="10"/>
  <c r="E75" i="10" s="1"/>
  <c r="B74" i="10"/>
  <c r="AC74" i="10" s="1"/>
  <c r="B73" i="10"/>
  <c r="AC73" i="10" s="1"/>
  <c r="B72" i="10"/>
  <c r="B71" i="10"/>
  <c r="B70" i="10"/>
  <c r="AC70" i="10" s="1"/>
  <c r="B69" i="10"/>
  <c r="E69" i="10" s="1"/>
  <c r="B68" i="10"/>
  <c r="E68" i="10" s="1"/>
  <c r="B67" i="10"/>
  <c r="E67" i="10" s="1"/>
  <c r="B66" i="10"/>
  <c r="B65" i="10"/>
  <c r="B64" i="10"/>
  <c r="AC64" i="10" s="1"/>
  <c r="B63" i="10"/>
  <c r="E63" i="10" s="1"/>
  <c r="B62" i="10"/>
  <c r="AC62" i="10" s="1"/>
  <c r="B61" i="10"/>
  <c r="AC61" i="10" s="1"/>
  <c r="B60" i="10"/>
  <c r="B59" i="10"/>
  <c r="B58" i="10"/>
  <c r="AC58" i="10" s="1"/>
  <c r="B57" i="10"/>
  <c r="E57" i="10" s="1"/>
  <c r="B56" i="10"/>
  <c r="E56" i="10" s="1"/>
  <c r="B55" i="10"/>
  <c r="E55" i="10" s="1"/>
  <c r="B54" i="10"/>
  <c r="B53" i="10"/>
  <c r="B52" i="10"/>
  <c r="AC52" i="10" s="1"/>
  <c r="B51" i="10"/>
  <c r="E51" i="10" s="1"/>
  <c r="B50" i="10"/>
  <c r="AC50" i="10" s="1"/>
  <c r="B49" i="10"/>
  <c r="AC49" i="10" s="1"/>
  <c r="B48" i="10"/>
  <c r="B47" i="10"/>
  <c r="B46" i="10"/>
  <c r="AC46" i="10" s="1"/>
  <c r="B45" i="10"/>
  <c r="E45" i="10" s="1"/>
  <c r="B44" i="10"/>
  <c r="E44" i="10" s="1"/>
  <c r="B43" i="10"/>
  <c r="E43" i="10" s="1"/>
  <c r="B42" i="10"/>
  <c r="B41" i="10"/>
  <c r="B40" i="10"/>
  <c r="AC40" i="10" s="1"/>
  <c r="B39" i="10"/>
  <c r="E39" i="10" s="1"/>
  <c r="B38" i="10"/>
  <c r="AC38" i="10" s="1"/>
  <c r="B37" i="10"/>
  <c r="AC37" i="10" s="1"/>
  <c r="B36" i="10"/>
  <c r="B35" i="10"/>
  <c r="B34" i="10"/>
  <c r="AC34" i="10" s="1"/>
  <c r="B33" i="10"/>
  <c r="B32" i="10"/>
  <c r="AC32" i="10" s="1"/>
  <c r="B31" i="10"/>
  <c r="AC31" i="10" s="1"/>
  <c r="B30" i="10"/>
  <c r="B29" i="10"/>
  <c r="B28" i="10"/>
  <c r="AC28" i="10" s="1"/>
  <c r="B27" i="10"/>
  <c r="B26" i="10"/>
  <c r="AC26" i="10" s="1"/>
  <c r="B25" i="10"/>
  <c r="AC25" i="10" s="1"/>
  <c r="B24" i="10"/>
  <c r="B23" i="10"/>
  <c r="B22" i="10"/>
  <c r="AC22" i="10" s="1"/>
  <c r="B21" i="10"/>
  <c r="B20" i="10"/>
  <c r="AC20" i="10" s="1"/>
  <c r="B19" i="10"/>
  <c r="AC19" i="10" s="1"/>
  <c r="B18" i="10"/>
  <c r="B17" i="10"/>
  <c r="B16" i="10"/>
  <c r="AC16" i="10" s="1"/>
  <c r="B15" i="10"/>
  <c r="B14" i="10"/>
  <c r="AC14" i="10" s="1"/>
  <c r="B13" i="10"/>
  <c r="AC13" i="10" s="1"/>
  <c r="B12" i="10"/>
  <c r="B11" i="10"/>
  <c r="B10" i="10"/>
  <c r="AC10" i="10" s="1"/>
  <c r="B9" i="10"/>
  <c r="B8" i="10"/>
  <c r="E8" i="10" s="1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8" i="2"/>
  <c r="AC11" i="10" l="1"/>
  <c r="W11" i="10"/>
  <c r="Q11" i="10"/>
  <c r="K11" i="10"/>
  <c r="E11" i="10"/>
  <c r="AC17" i="10"/>
  <c r="W17" i="10"/>
  <c r="Q17" i="10"/>
  <c r="K17" i="10"/>
  <c r="E17" i="10"/>
  <c r="AC23" i="10"/>
  <c r="W23" i="10"/>
  <c r="Q23" i="10"/>
  <c r="K23" i="10"/>
  <c r="E23" i="10"/>
  <c r="AC29" i="10"/>
  <c r="W29" i="10"/>
  <c r="Q29" i="10"/>
  <c r="K29" i="10"/>
  <c r="E29" i="10"/>
  <c r="AC35" i="10"/>
  <c r="W35" i="10"/>
  <c r="Q35" i="10"/>
  <c r="K35" i="10"/>
  <c r="E35" i="10"/>
  <c r="AC41" i="10"/>
  <c r="W41" i="10"/>
  <c r="Q41" i="10"/>
  <c r="K41" i="10"/>
  <c r="AC47" i="10"/>
  <c r="W47" i="10"/>
  <c r="Q47" i="10"/>
  <c r="K47" i="10"/>
  <c r="AC53" i="10"/>
  <c r="W53" i="10"/>
  <c r="Q53" i="10"/>
  <c r="K53" i="10"/>
  <c r="AC59" i="10"/>
  <c r="W59" i="10"/>
  <c r="Q59" i="10"/>
  <c r="K59" i="10"/>
  <c r="AC65" i="10"/>
  <c r="W65" i="10"/>
  <c r="Q65" i="10"/>
  <c r="K65" i="10"/>
  <c r="AC71" i="10"/>
  <c r="W71" i="10"/>
  <c r="Q71" i="10"/>
  <c r="K71" i="10"/>
  <c r="AC77" i="10"/>
  <c r="W77" i="10"/>
  <c r="Q77" i="10"/>
  <c r="K77" i="10"/>
  <c r="AC83" i="10"/>
  <c r="W83" i="10"/>
  <c r="Q83" i="10"/>
  <c r="K83" i="10"/>
  <c r="AC89" i="10"/>
  <c r="W89" i="10"/>
  <c r="Q89" i="10"/>
  <c r="K89" i="10"/>
  <c r="AC95" i="10"/>
  <c r="W95" i="10"/>
  <c r="Q95" i="10"/>
  <c r="K95" i="10"/>
  <c r="AC101" i="10"/>
  <c r="W101" i="10"/>
  <c r="Q101" i="10"/>
  <c r="K101" i="10"/>
  <c r="AC107" i="10"/>
  <c r="W107" i="10"/>
  <c r="Q107" i="10"/>
  <c r="K107" i="10"/>
  <c r="AC113" i="10"/>
  <c r="W113" i="10"/>
  <c r="Q113" i="10"/>
  <c r="K113" i="10"/>
  <c r="AC119" i="10"/>
  <c r="W119" i="10"/>
  <c r="Q119" i="10"/>
  <c r="K119" i="10"/>
  <c r="AC125" i="10"/>
  <c r="W125" i="10"/>
  <c r="Q125" i="10"/>
  <c r="K125" i="10"/>
  <c r="E125" i="10"/>
  <c r="E119" i="10"/>
  <c r="E113" i="10"/>
  <c r="E107" i="10"/>
  <c r="E101" i="10"/>
  <c r="E95" i="10"/>
  <c r="E89" i="10"/>
  <c r="E83" i="10"/>
  <c r="E77" i="10"/>
  <c r="E71" i="10"/>
  <c r="E65" i="10"/>
  <c r="E59" i="10"/>
  <c r="E53" i="10"/>
  <c r="E47" i="10"/>
  <c r="E41" i="10"/>
  <c r="E32" i="10"/>
  <c r="E20" i="10"/>
  <c r="K8" i="10"/>
  <c r="K116" i="10"/>
  <c r="K104" i="10"/>
  <c r="K92" i="10"/>
  <c r="K80" i="10"/>
  <c r="K68" i="10"/>
  <c r="K56" i="10"/>
  <c r="K44" i="10"/>
  <c r="K32" i="10"/>
  <c r="K20" i="10"/>
  <c r="Q8" i="10"/>
  <c r="Q116" i="10"/>
  <c r="Q104" i="10"/>
  <c r="Q92" i="10"/>
  <c r="Q80" i="10"/>
  <c r="Q68" i="10"/>
  <c r="Q56" i="10"/>
  <c r="Q44" i="10"/>
  <c r="Q32" i="10"/>
  <c r="Q20" i="10"/>
  <c r="W8" i="10"/>
  <c r="W116" i="10"/>
  <c r="W104" i="10"/>
  <c r="W92" i="10"/>
  <c r="W80" i="10"/>
  <c r="W68" i="10"/>
  <c r="W56" i="10"/>
  <c r="W44" i="10"/>
  <c r="W32" i="10"/>
  <c r="W20" i="10"/>
  <c r="AC8" i="10"/>
  <c r="AC116" i="10"/>
  <c r="AC104" i="10"/>
  <c r="AC92" i="10"/>
  <c r="AC80" i="10"/>
  <c r="AC68" i="10"/>
  <c r="AC56" i="10"/>
  <c r="AC44" i="10"/>
  <c r="AC12" i="10"/>
  <c r="W12" i="10"/>
  <c r="Q12" i="10"/>
  <c r="K12" i="10"/>
  <c r="E12" i="10"/>
  <c r="AC24" i="10"/>
  <c r="W24" i="10"/>
  <c r="Q24" i="10"/>
  <c r="K24" i="10"/>
  <c r="E24" i="10"/>
  <c r="AC30" i="10"/>
  <c r="W30" i="10"/>
  <c r="Q30" i="10"/>
  <c r="K30" i="10"/>
  <c r="E30" i="10"/>
  <c r="AC36" i="10"/>
  <c r="W36" i="10"/>
  <c r="Q36" i="10"/>
  <c r="K36" i="10"/>
  <c r="E36" i="10"/>
  <c r="AC42" i="10"/>
  <c r="W42" i="10"/>
  <c r="Q42" i="10"/>
  <c r="K42" i="10"/>
  <c r="AC48" i="10"/>
  <c r="W48" i="10"/>
  <c r="Q48" i="10"/>
  <c r="K48" i="10"/>
  <c r="AC54" i="10"/>
  <c r="W54" i="10"/>
  <c r="Q54" i="10"/>
  <c r="K54" i="10"/>
  <c r="AC60" i="10"/>
  <c r="W60" i="10"/>
  <c r="Q60" i="10"/>
  <c r="K60" i="10"/>
  <c r="AC66" i="10"/>
  <c r="W66" i="10"/>
  <c r="Q66" i="10"/>
  <c r="K66" i="10"/>
  <c r="AC72" i="10"/>
  <c r="W72" i="10"/>
  <c r="Q72" i="10"/>
  <c r="K72" i="10"/>
  <c r="AC78" i="10"/>
  <c r="W78" i="10"/>
  <c r="Q78" i="10"/>
  <c r="K78" i="10"/>
  <c r="AC84" i="10"/>
  <c r="W84" i="10"/>
  <c r="Q84" i="10"/>
  <c r="K84" i="10"/>
  <c r="AC90" i="10"/>
  <c r="W90" i="10"/>
  <c r="Q90" i="10"/>
  <c r="K90" i="10"/>
  <c r="AC96" i="10"/>
  <c r="W96" i="10"/>
  <c r="Q96" i="10"/>
  <c r="K96" i="10"/>
  <c r="AC102" i="10"/>
  <c r="W102" i="10"/>
  <c r="Q102" i="10"/>
  <c r="K102" i="10"/>
  <c r="AC108" i="10"/>
  <c r="W108" i="10"/>
  <c r="Q108" i="10"/>
  <c r="K108" i="10"/>
  <c r="AC114" i="10"/>
  <c r="W114" i="10"/>
  <c r="Q114" i="10"/>
  <c r="K114" i="10"/>
  <c r="AC120" i="10"/>
  <c r="W120" i="10"/>
  <c r="Q120" i="10"/>
  <c r="K120" i="10"/>
  <c r="AC126" i="10"/>
  <c r="W126" i="10"/>
  <c r="Q126" i="10"/>
  <c r="K126" i="10"/>
  <c r="E124" i="10"/>
  <c r="E118" i="10"/>
  <c r="E112" i="10"/>
  <c r="E106" i="10"/>
  <c r="E100" i="10"/>
  <c r="E94" i="10"/>
  <c r="E88" i="10"/>
  <c r="E82" i="10"/>
  <c r="E76" i="10"/>
  <c r="E70" i="10"/>
  <c r="E64" i="10"/>
  <c r="E58" i="10"/>
  <c r="E52" i="10"/>
  <c r="E46" i="10"/>
  <c r="E40" i="10"/>
  <c r="W115" i="10"/>
  <c r="W103" i="10"/>
  <c r="W91" i="10"/>
  <c r="W79" i="10"/>
  <c r="W67" i="10"/>
  <c r="W55" i="10"/>
  <c r="W43" i="10"/>
  <c r="W31" i="10"/>
  <c r="W19" i="10"/>
  <c r="AC127" i="10"/>
  <c r="AC115" i="10"/>
  <c r="AC103" i="10"/>
  <c r="AC91" i="10"/>
  <c r="AC79" i="10"/>
  <c r="AC67" i="10"/>
  <c r="AC55" i="10"/>
  <c r="AC43" i="10"/>
  <c r="AC18" i="10"/>
  <c r="W18" i="10"/>
  <c r="Q18" i="10"/>
  <c r="K18" i="10"/>
  <c r="E18" i="10"/>
  <c r="E28" i="10"/>
  <c r="E16" i="10"/>
  <c r="K124" i="10"/>
  <c r="K112" i="10"/>
  <c r="K100" i="10"/>
  <c r="K88" i="10"/>
  <c r="K76" i="10"/>
  <c r="K64" i="10"/>
  <c r="K52" i="10"/>
  <c r="K40" i="10"/>
  <c r="K28" i="10"/>
  <c r="K16" i="10"/>
  <c r="Q124" i="10"/>
  <c r="Q112" i="10"/>
  <c r="Q100" i="10"/>
  <c r="Q88" i="10"/>
  <c r="Q76" i="10"/>
  <c r="Q64" i="10"/>
  <c r="Q52" i="10"/>
  <c r="Q40" i="10"/>
  <c r="Q28" i="10"/>
  <c r="Q16" i="10"/>
  <c r="W124" i="10"/>
  <c r="W112" i="10"/>
  <c r="W100" i="10"/>
  <c r="W88" i="10"/>
  <c r="W76" i="10"/>
  <c r="W64" i="10"/>
  <c r="W52" i="10"/>
  <c r="W40" i="10"/>
  <c r="W28" i="10"/>
  <c r="W16" i="10"/>
  <c r="E122" i="10"/>
  <c r="E110" i="10"/>
  <c r="E98" i="10"/>
  <c r="E86" i="10"/>
  <c r="E74" i="10"/>
  <c r="E62" i="10"/>
  <c r="E50" i="10"/>
  <c r="E38" i="10"/>
  <c r="E26" i="10"/>
  <c r="E14" i="10"/>
  <c r="K122" i="10"/>
  <c r="K110" i="10"/>
  <c r="K98" i="10"/>
  <c r="K86" i="10"/>
  <c r="K74" i="10"/>
  <c r="K62" i="10"/>
  <c r="K50" i="10"/>
  <c r="K38" i="10"/>
  <c r="K26" i="10"/>
  <c r="K14" i="10"/>
  <c r="Q122" i="10"/>
  <c r="Q110" i="10"/>
  <c r="Q98" i="10"/>
  <c r="Q86" i="10"/>
  <c r="Q74" i="10"/>
  <c r="Q62" i="10"/>
  <c r="Q50" i="10"/>
  <c r="Q38" i="10"/>
  <c r="Q26" i="10"/>
  <c r="Q14" i="10"/>
  <c r="W122" i="10"/>
  <c r="W110" i="10"/>
  <c r="W98" i="10"/>
  <c r="W86" i="10"/>
  <c r="W74" i="10"/>
  <c r="W62" i="10"/>
  <c r="W50" i="10"/>
  <c r="W38" i="10"/>
  <c r="W26" i="10"/>
  <c r="W14" i="10"/>
  <c r="AC9" i="10"/>
  <c r="W9" i="10"/>
  <c r="Q9" i="10"/>
  <c r="K9" i="10"/>
  <c r="E9" i="10"/>
  <c r="AC15" i="10"/>
  <c r="W15" i="10"/>
  <c r="Q15" i="10"/>
  <c r="K15" i="10"/>
  <c r="E15" i="10"/>
  <c r="AC21" i="10"/>
  <c r="W21" i="10"/>
  <c r="Q21" i="10"/>
  <c r="K21" i="10"/>
  <c r="E21" i="10"/>
  <c r="AC27" i="10"/>
  <c r="W27" i="10"/>
  <c r="Q27" i="10"/>
  <c r="K27" i="10"/>
  <c r="E27" i="10"/>
  <c r="AC33" i="10"/>
  <c r="W33" i="10"/>
  <c r="Q33" i="10"/>
  <c r="K33" i="10"/>
  <c r="E33" i="10"/>
  <c r="AC39" i="10"/>
  <c r="W39" i="10"/>
  <c r="Q39" i="10"/>
  <c r="K39" i="10"/>
  <c r="AC45" i="10"/>
  <c r="W45" i="10"/>
  <c r="Q45" i="10"/>
  <c r="K45" i="10"/>
  <c r="AC51" i="10"/>
  <c r="W51" i="10"/>
  <c r="Q51" i="10"/>
  <c r="K51" i="10"/>
  <c r="AC57" i="10"/>
  <c r="W57" i="10"/>
  <c r="Q57" i="10"/>
  <c r="K57" i="10"/>
  <c r="AC63" i="10"/>
  <c r="W63" i="10"/>
  <c r="Q63" i="10"/>
  <c r="K63" i="10"/>
  <c r="AC69" i="10"/>
  <c r="W69" i="10"/>
  <c r="Q69" i="10"/>
  <c r="K69" i="10"/>
  <c r="AC75" i="10"/>
  <c r="W75" i="10"/>
  <c r="Q75" i="10"/>
  <c r="K75" i="10"/>
  <c r="AC81" i="10"/>
  <c r="W81" i="10"/>
  <c r="Q81" i="10"/>
  <c r="K81" i="10"/>
  <c r="AC87" i="10"/>
  <c r="W87" i="10"/>
  <c r="Q87" i="10"/>
  <c r="K87" i="10"/>
  <c r="AC93" i="10"/>
  <c r="W93" i="10"/>
  <c r="Q93" i="10"/>
  <c r="K93" i="10"/>
  <c r="AC99" i="10"/>
  <c r="W99" i="10"/>
  <c r="Q99" i="10"/>
  <c r="K99" i="10"/>
  <c r="AC105" i="10"/>
  <c r="W105" i="10"/>
  <c r="Q105" i="10"/>
  <c r="K105" i="10"/>
  <c r="AC111" i="10"/>
  <c r="W111" i="10"/>
  <c r="Q111" i="10"/>
  <c r="K111" i="10"/>
  <c r="AC117" i="10"/>
  <c r="W117" i="10"/>
  <c r="Q117" i="10"/>
  <c r="K117" i="10"/>
  <c r="AC123" i="10"/>
  <c r="W123" i="10"/>
  <c r="Q123" i="10"/>
  <c r="K123" i="10"/>
  <c r="E121" i="10"/>
  <c r="E109" i="10"/>
  <c r="E97" i="10"/>
  <c r="E85" i="10"/>
  <c r="E73" i="10"/>
  <c r="E61" i="10"/>
  <c r="E49" i="10"/>
  <c r="E37" i="10"/>
  <c r="E25" i="10"/>
  <c r="E13" i="10"/>
  <c r="K121" i="10"/>
  <c r="K109" i="10"/>
  <c r="K97" i="10"/>
  <c r="K85" i="10"/>
  <c r="K73" i="10"/>
  <c r="K61" i="10"/>
  <c r="K49" i="10"/>
  <c r="K37" i="10"/>
  <c r="K25" i="10"/>
  <c r="K13" i="10"/>
  <c r="Q121" i="10"/>
  <c r="Q109" i="10"/>
  <c r="Q97" i="10"/>
  <c r="Q85" i="10"/>
  <c r="Q73" i="10"/>
  <c r="Q61" i="10"/>
  <c r="Q49" i="10"/>
  <c r="Q37" i="10"/>
  <c r="Q25" i="10"/>
  <c r="Q13" i="10"/>
  <c r="W121" i="10"/>
  <c r="W109" i="10"/>
  <c r="W97" i="10"/>
  <c r="W85" i="10"/>
  <c r="W73" i="10"/>
  <c r="W61" i="10"/>
  <c r="W49" i="10"/>
  <c r="W37" i="10"/>
  <c r="W25" i="10"/>
  <c r="W13" i="10"/>
  <c r="E126" i="10"/>
  <c r="E120" i="10"/>
  <c r="E114" i="10"/>
  <c r="E108" i="10"/>
  <c r="E102" i="10"/>
  <c r="E96" i="10"/>
  <c r="E90" i="10"/>
  <c r="E84" i="10"/>
  <c r="E78" i="10"/>
  <c r="E72" i="10"/>
  <c r="E66" i="10"/>
  <c r="E60" i="10"/>
  <c r="E54" i="10"/>
  <c r="E48" i="10"/>
  <c r="E42" i="10"/>
  <c r="E34" i="10"/>
  <c r="E22" i="10"/>
  <c r="E10" i="10"/>
  <c r="K118" i="10"/>
  <c r="K106" i="10"/>
  <c r="K94" i="10"/>
  <c r="K82" i="10"/>
  <c r="K70" i="10"/>
  <c r="K58" i="10"/>
  <c r="K46" i="10"/>
  <c r="K34" i="10"/>
  <c r="K22" i="10"/>
  <c r="K10" i="10"/>
  <c r="Q118" i="10"/>
  <c r="Q106" i="10"/>
  <c r="Q94" i="10"/>
  <c r="Q82" i="10"/>
  <c r="Q70" i="10"/>
  <c r="Q58" i="10"/>
  <c r="Q46" i="10"/>
  <c r="Q34" i="10"/>
  <c r="Q22" i="10"/>
  <c r="Q10" i="10"/>
  <c r="W118" i="10"/>
  <c r="W106" i="10"/>
  <c r="W94" i="10"/>
  <c r="W82" i="10"/>
  <c r="W70" i="10"/>
  <c r="W58" i="10"/>
  <c r="W46" i="10"/>
  <c r="W34" i="10"/>
  <c r="W22" i="10"/>
  <c r="W10" i="10"/>
  <c r="J5" i="1"/>
  <c r="J6" i="1"/>
  <c r="J7" i="1"/>
  <c r="J8" i="1"/>
  <c r="J4" i="1"/>
  <c r="I5" i="1"/>
  <c r="I6" i="1"/>
  <c r="I7" i="1"/>
  <c r="I8" i="1"/>
  <c r="I4" i="1"/>
  <c r="AI9" i="10" l="1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I99" i="10"/>
  <c r="AI100" i="10"/>
  <c r="AI101" i="10"/>
  <c r="AI102" i="10"/>
  <c r="AI103" i="10"/>
  <c r="AI104" i="10"/>
  <c r="AI105" i="10"/>
  <c r="AI106" i="10"/>
  <c r="AI107" i="10"/>
  <c r="AI108" i="10"/>
  <c r="AI109" i="10"/>
  <c r="AI110" i="10"/>
  <c r="AI111" i="10"/>
  <c r="AI112" i="10"/>
  <c r="AI113" i="10"/>
  <c r="AI114" i="10"/>
  <c r="AI115" i="10"/>
  <c r="AI116" i="10"/>
  <c r="AI117" i="10"/>
  <c r="AI118" i="10"/>
  <c r="AI119" i="10"/>
  <c r="AI120" i="10"/>
  <c r="AI121" i="10"/>
  <c r="AI122" i="10"/>
  <c r="AI123" i="10"/>
  <c r="AI124" i="10"/>
  <c r="AI125" i="10"/>
  <c r="AI126" i="10"/>
  <c r="AI127" i="10"/>
  <c r="AI8" i="10"/>
  <c r="AH9" i="2" l="1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D8" i="3"/>
  <c r="AH9" i="10" s="1"/>
  <c r="D9" i="3"/>
  <c r="AH10" i="10" s="1"/>
  <c r="D10" i="3"/>
  <c r="AH11" i="10" s="1"/>
  <c r="D11" i="3"/>
  <c r="AH12" i="10" s="1"/>
  <c r="D12" i="3"/>
  <c r="AH13" i="10" s="1"/>
  <c r="D13" i="3"/>
  <c r="AH14" i="10" s="1"/>
  <c r="D14" i="3"/>
  <c r="AH15" i="10" s="1"/>
  <c r="D15" i="3"/>
  <c r="AH16" i="10" s="1"/>
  <c r="D16" i="3"/>
  <c r="AH17" i="10" s="1"/>
  <c r="D17" i="3"/>
  <c r="AH18" i="10" s="1"/>
  <c r="D18" i="3"/>
  <c r="AH19" i="10" s="1"/>
  <c r="D19" i="3"/>
  <c r="AH20" i="10" s="1"/>
  <c r="D20" i="3"/>
  <c r="AH21" i="10" s="1"/>
  <c r="D21" i="3"/>
  <c r="AH22" i="10" s="1"/>
  <c r="D22" i="3"/>
  <c r="AH23" i="10" s="1"/>
  <c r="D23" i="3"/>
  <c r="AH24" i="10" s="1"/>
  <c r="D24" i="3"/>
  <c r="AH25" i="10" s="1"/>
  <c r="D25" i="3"/>
  <c r="AH26" i="10" s="1"/>
  <c r="D26" i="3"/>
  <c r="AH27" i="10" s="1"/>
  <c r="D27" i="3"/>
  <c r="AH28" i="10" s="1"/>
  <c r="D28" i="3"/>
  <c r="AH29" i="10" s="1"/>
  <c r="D29" i="3"/>
  <c r="AH30" i="10" s="1"/>
  <c r="D30" i="3"/>
  <c r="AH31" i="10" s="1"/>
  <c r="D31" i="3"/>
  <c r="AH32" i="10" s="1"/>
  <c r="D32" i="3"/>
  <c r="AH33" i="10" s="1"/>
  <c r="D33" i="3"/>
  <c r="AH34" i="10" s="1"/>
  <c r="D34" i="3"/>
  <c r="AH35" i="10" s="1"/>
  <c r="D35" i="3"/>
  <c r="AH36" i="10" s="1"/>
  <c r="D36" i="3"/>
  <c r="AH37" i="10" s="1"/>
  <c r="D37" i="3"/>
  <c r="AH38" i="10" s="1"/>
  <c r="D38" i="3"/>
  <c r="AH39" i="10" s="1"/>
  <c r="D39" i="3"/>
  <c r="AH40" i="10" s="1"/>
  <c r="D40" i="3"/>
  <c r="AH41" i="10" s="1"/>
  <c r="D41" i="3"/>
  <c r="AH42" i="10" s="1"/>
  <c r="D42" i="3"/>
  <c r="AH43" i="10" s="1"/>
  <c r="D43" i="3"/>
  <c r="AH44" i="10" s="1"/>
  <c r="D44" i="3"/>
  <c r="AH45" i="10" s="1"/>
  <c r="D45" i="3"/>
  <c r="AH46" i="10" s="1"/>
  <c r="D46" i="3"/>
  <c r="AH47" i="10" s="1"/>
  <c r="D47" i="3"/>
  <c r="AH48" i="10" s="1"/>
  <c r="D48" i="3"/>
  <c r="AH49" i="10" s="1"/>
  <c r="D49" i="3"/>
  <c r="AH50" i="10" s="1"/>
  <c r="D50" i="3"/>
  <c r="AH51" i="10" s="1"/>
  <c r="D51" i="3"/>
  <c r="AH52" i="10" s="1"/>
  <c r="D52" i="3"/>
  <c r="AH53" i="10" s="1"/>
  <c r="D53" i="3"/>
  <c r="AH54" i="10" s="1"/>
  <c r="D54" i="3"/>
  <c r="AH55" i="10" s="1"/>
  <c r="D55" i="3"/>
  <c r="AH56" i="10" s="1"/>
  <c r="D56" i="3"/>
  <c r="AH57" i="10" s="1"/>
  <c r="D57" i="3"/>
  <c r="AH58" i="10" s="1"/>
  <c r="D58" i="3"/>
  <c r="AH59" i="10" s="1"/>
  <c r="D59" i="3"/>
  <c r="AH60" i="10" s="1"/>
  <c r="D60" i="3"/>
  <c r="AH61" i="10" s="1"/>
  <c r="D61" i="3"/>
  <c r="AH62" i="10" s="1"/>
  <c r="D62" i="3"/>
  <c r="AH63" i="10" s="1"/>
  <c r="D63" i="3"/>
  <c r="AH64" i="10" s="1"/>
  <c r="D64" i="3"/>
  <c r="AH65" i="10" s="1"/>
  <c r="D65" i="3"/>
  <c r="AH66" i="10" s="1"/>
  <c r="D66" i="3"/>
  <c r="AH67" i="10" s="1"/>
  <c r="D67" i="3"/>
  <c r="AH68" i="10" s="1"/>
  <c r="D68" i="3"/>
  <c r="AH69" i="10" s="1"/>
  <c r="D69" i="3"/>
  <c r="AH70" i="10" s="1"/>
  <c r="D70" i="3"/>
  <c r="AH71" i="10" s="1"/>
  <c r="D71" i="3"/>
  <c r="AH72" i="10" s="1"/>
  <c r="D72" i="3"/>
  <c r="AH73" i="10" s="1"/>
  <c r="D73" i="3"/>
  <c r="AH74" i="10" s="1"/>
  <c r="D74" i="3"/>
  <c r="AH75" i="10" s="1"/>
  <c r="D75" i="3"/>
  <c r="AH76" i="10" s="1"/>
  <c r="D76" i="3"/>
  <c r="AH77" i="10" s="1"/>
  <c r="D77" i="3"/>
  <c r="AH78" i="10" s="1"/>
  <c r="D78" i="3"/>
  <c r="AH79" i="10" s="1"/>
  <c r="D79" i="3"/>
  <c r="AH80" i="10" s="1"/>
  <c r="D80" i="3"/>
  <c r="AH81" i="10" s="1"/>
  <c r="D81" i="3"/>
  <c r="AH82" i="10" s="1"/>
  <c r="D82" i="3"/>
  <c r="AH83" i="10" s="1"/>
  <c r="D83" i="3"/>
  <c r="AH84" i="10" s="1"/>
  <c r="D84" i="3"/>
  <c r="AH85" i="10" s="1"/>
  <c r="D85" i="3"/>
  <c r="AH86" i="10" s="1"/>
  <c r="D86" i="3"/>
  <c r="AH87" i="10" s="1"/>
  <c r="D87" i="3"/>
  <c r="AH88" i="10" s="1"/>
  <c r="D88" i="3"/>
  <c r="AH89" i="10" s="1"/>
  <c r="D89" i="3"/>
  <c r="AH90" i="10" s="1"/>
  <c r="D90" i="3"/>
  <c r="AH91" i="10" s="1"/>
  <c r="D91" i="3"/>
  <c r="AH92" i="10" s="1"/>
  <c r="D92" i="3"/>
  <c r="AH93" i="10" s="1"/>
  <c r="D93" i="3"/>
  <c r="AH94" i="10" s="1"/>
  <c r="D94" i="3"/>
  <c r="AH95" i="10" s="1"/>
  <c r="D95" i="3"/>
  <c r="AH96" i="10" s="1"/>
  <c r="D96" i="3"/>
  <c r="AH97" i="10" s="1"/>
  <c r="D97" i="3"/>
  <c r="AH98" i="10" s="1"/>
  <c r="D98" i="3"/>
  <c r="AH99" i="10" s="1"/>
  <c r="D99" i="3"/>
  <c r="AH100" i="10" s="1"/>
  <c r="D100" i="3"/>
  <c r="AH101" i="10" s="1"/>
  <c r="D101" i="3"/>
  <c r="AH102" i="10" s="1"/>
  <c r="D102" i="3"/>
  <c r="AH103" i="10" s="1"/>
  <c r="D103" i="3"/>
  <c r="AH104" i="10" s="1"/>
  <c r="D104" i="3"/>
  <c r="AH105" i="10" s="1"/>
  <c r="D105" i="3"/>
  <c r="AH106" i="10" s="1"/>
  <c r="D106" i="3"/>
  <c r="AH107" i="10" s="1"/>
  <c r="D107" i="3"/>
  <c r="AH108" i="10" s="1"/>
  <c r="D108" i="3"/>
  <c r="AH109" i="10" s="1"/>
  <c r="D109" i="3"/>
  <c r="AH110" i="10" s="1"/>
  <c r="D110" i="3"/>
  <c r="AH111" i="10" s="1"/>
  <c r="D111" i="3"/>
  <c r="AH112" i="10" s="1"/>
  <c r="D112" i="3"/>
  <c r="AH113" i="10" s="1"/>
  <c r="D113" i="3"/>
  <c r="AH114" i="10" s="1"/>
  <c r="D114" i="3"/>
  <c r="AH115" i="10" s="1"/>
  <c r="D115" i="3"/>
  <c r="AH116" i="10" s="1"/>
  <c r="D116" i="3"/>
  <c r="AH117" i="10" s="1"/>
  <c r="D117" i="3"/>
  <c r="AH118" i="10" s="1"/>
  <c r="D118" i="3"/>
  <c r="AH119" i="10" s="1"/>
  <c r="D119" i="3"/>
  <c r="AH120" i="10" s="1"/>
  <c r="D120" i="3"/>
  <c r="AH121" i="10" s="1"/>
  <c r="D121" i="3"/>
  <c r="AH122" i="10" s="1"/>
  <c r="D122" i="3"/>
  <c r="AH123" i="10" s="1"/>
  <c r="D123" i="3"/>
  <c r="AH124" i="10" s="1"/>
  <c r="D124" i="3"/>
  <c r="AH125" i="10" s="1"/>
  <c r="D125" i="3"/>
  <c r="AH126" i="10" s="1"/>
  <c r="D126" i="3"/>
  <c r="AH127" i="10" s="1"/>
  <c r="D7" i="3"/>
  <c r="AH8" i="10" s="1"/>
  <c r="AJ8" i="10" s="1"/>
  <c r="AH8" i="2"/>
  <c r="G5" i="1"/>
  <c r="G6" i="1"/>
  <c r="G7" i="1"/>
  <c r="G8" i="1"/>
  <c r="G4" i="1"/>
  <c r="C8" i="2" l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8" i="10"/>
  <c r="G10" i="1"/>
  <c r="G11" i="1" s="1"/>
  <c r="G12" i="1" s="1"/>
  <c r="AA8" i="10"/>
  <c r="AA8" i="2"/>
  <c r="U8" i="2"/>
  <c r="U8" i="10"/>
  <c r="X8" i="10" s="1"/>
  <c r="Y8" i="10" s="1"/>
  <c r="O8" i="2"/>
  <c r="O8" i="10"/>
  <c r="R8" i="10" s="1"/>
  <c r="S8" i="10" s="1"/>
  <c r="I8" i="10"/>
  <c r="I8" i="2"/>
  <c r="F8" i="10"/>
  <c r="G8" i="10" s="1"/>
  <c r="L8" i="10"/>
  <c r="M8" i="10" s="1"/>
  <c r="AJ92" i="10"/>
  <c r="AJ45" i="10"/>
  <c r="AJ97" i="10"/>
  <c r="AJ29" i="10"/>
  <c r="AJ14" i="10"/>
  <c r="AJ18" i="10"/>
  <c r="AJ30" i="10"/>
  <c r="AJ34" i="10"/>
  <c r="AJ46" i="10"/>
  <c r="AJ50" i="10"/>
  <c r="AJ62" i="10"/>
  <c r="AJ66" i="10"/>
  <c r="AJ78" i="10"/>
  <c r="AJ82" i="10"/>
  <c r="AJ94" i="10"/>
  <c r="AJ98" i="10"/>
  <c r="AJ106" i="10"/>
  <c r="AJ110" i="10"/>
  <c r="AJ114" i="10"/>
  <c r="AJ122" i="10"/>
  <c r="AJ126" i="10"/>
  <c r="AJ99" i="10"/>
  <c r="AJ103" i="10"/>
  <c r="AJ107" i="10"/>
  <c r="AJ111" i="10"/>
  <c r="AJ115" i="10"/>
  <c r="AJ119" i="10"/>
  <c r="AJ123" i="10"/>
  <c r="AJ127" i="10"/>
  <c r="AJ32" i="10"/>
  <c r="AJ12" i="10"/>
  <c r="AJ20" i="10"/>
  <c r="AJ36" i="10"/>
  <c r="AJ40" i="10"/>
  <c r="AJ52" i="10"/>
  <c r="AJ56" i="10"/>
  <c r="AJ68" i="10"/>
  <c r="AJ72" i="10"/>
  <c r="AJ84" i="10"/>
  <c r="AJ100" i="10"/>
  <c r="AJ116" i="10"/>
  <c r="AJ120" i="10"/>
  <c r="AJ76" i="10"/>
  <c r="AJ9" i="10"/>
  <c r="AJ13" i="10"/>
  <c r="AJ25" i="10"/>
  <c r="AJ41" i="10"/>
  <c r="AJ57" i="10"/>
  <c r="AJ73" i="10"/>
  <c r="AJ77" i="10"/>
  <c r="AJ89" i="10"/>
  <c r="AJ104" i="10"/>
  <c r="AJ61" i="10"/>
  <c r="AJ17" i="10"/>
  <c r="AJ88" i="10"/>
  <c r="AJ60" i="10"/>
  <c r="AJ44" i="10"/>
  <c r="AJ16" i="10"/>
  <c r="AJ125" i="10"/>
  <c r="AJ109" i="10"/>
  <c r="AJ96" i="10"/>
  <c r="AJ81" i="10"/>
  <c r="AJ65" i="10"/>
  <c r="AJ28" i="10"/>
  <c r="AJ124" i="10"/>
  <c r="AJ108" i="10"/>
  <c r="AJ93" i="10"/>
  <c r="AJ80" i="10"/>
  <c r="AJ64" i="10"/>
  <c r="AJ48" i="10"/>
  <c r="AJ33" i="10"/>
  <c r="AJ24" i="10"/>
  <c r="AJ112" i="10"/>
  <c r="F8" i="2"/>
  <c r="G8" i="2" s="1"/>
  <c r="D8" i="2"/>
  <c r="AJ10" i="10"/>
  <c r="AJ26" i="10"/>
  <c r="AJ42" i="10"/>
  <c r="AJ58" i="10"/>
  <c r="AJ74" i="10"/>
  <c r="AJ90" i="10"/>
  <c r="AJ102" i="10"/>
  <c r="AJ38" i="10"/>
  <c r="AJ118" i="10"/>
  <c r="AJ54" i="10"/>
  <c r="AJ70" i="10"/>
  <c r="AJ21" i="10"/>
  <c r="AJ37" i="10"/>
  <c r="AJ53" i="10"/>
  <c r="AJ69" i="10"/>
  <c r="AJ85" i="10"/>
  <c r="AJ101" i="10"/>
  <c r="AJ105" i="10"/>
  <c r="AJ117" i="10"/>
  <c r="AJ121" i="10"/>
  <c r="AJ113" i="10"/>
  <c r="AJ86" i="10"/>
  <c r="AJ49" i="10"/>
  <c r="AJ22" i="10"/>
  <c r="AJ11" i="10"/>
  <c r="AJ15" i="10"/>
  <c r="AJ19" i="10"/>
  <c r="AJ23" i="10"/>
  <c r="AJ27" i="10"/>
  <c r="AJ31" i="10"/>
  <c r="AJ35" i="10"/>
  <c r="AJ39" i="10"/>
  <c r="AJ43" i="10"/>
  <c r="AJ47" i="10"/>
  <c r="AJ51" i="10"/>
  <c r="AJ55" i="10"/>
  <c r="AJ59" i="10"/>
  <c r="AJ63" i="10"/>
  <c r="AJ67" i="10"/>
  <c r="AJ71" i="10"/>
  <c r="AJ75" i="10"/>
  <c r="AJ79" i="10"/>
  <c r="AJ83" i="10"/>
  <c r="AJ87" i="10"/>
  <c r="AJ91" i="10"/>
  <c r="AJ95" i="10"/>
  <c r="J8" i="2" l="1"/>
  <c r="I9" i="2"/>
  <c r="L8" i="2"/>
  <c r="M8" i="2" s="1"/>
  <c r="N8" i="2" s="1"/>
  <c r="AA9" i="2"/>
  <c r="AD8" i="2"/>
  <c r="AE8" i="2" s="1"/>
  <c r="AB8" i="2"/>
  <c r="V8" i="10"/>
  <c r="Z8" i="10" s="1"/>
  <c r="U9" i="10"/>
  <c r="H8" i="10"/>
  <c r="V8" i="2"/>
  <c r="U9" i="2"/>
  <c r="X8" i="2"/>
  <c r="Y8" i="2" s="1"/>
  <c r="I9" i="10"/>
  <c r="J8" i="10"/>
  <c r="N8" i="10" s="1"/>
  <c r="AB8" i="10"/>
  <c r="AA9" i="10"/>
  <c r="AD8" i="10"/>
  <c r="AE8" i="10" s="1"/>
  <c r="O9" i="10"/>
  <c r="P8" i="10"/>
  <c r="T8" i="10" s="1"/>
  <c r="P8" i="2"/>
  <c r="O9" i="2"/>
  <c r="R8" i="2"/>
  <c r="S8" i="2" s="1"/>
  <c r="C9" i="10"/>
  <c r="D8" i="10"/>
  <c r="H8" i="2"/>
  <c r="F9" i="2"/>
  <c r="G9" i="2" s="1"/>
  <c r="D9" i="2"/>
  <c r="I10" i="10" l="1"/>
  <c r="J9" i="10"/>
  <c r="L9" i="10"/>
  <c r="M9" i="10" s="1"/>
  <c r="N9" i="10" s="1"/>
  <c r="U10" i="10"/>
  <c r="V9" i="10"/>
  <c r="X9" i="10"/>
  <c r="Y9" i="10" s="1"/>
  <c r="O10" i="10"/>
  <c r="P9" i="10"/>
  <c r="R9" i="10"/>
  <c r="S9" i="10" s="1"/>
  <c r="I10" i="2"/>
  <c r="L9" i="2"/>
  <c r="M9" i="2" s="1"/>
  <c r="J9" i="2"/>
  <c r="O10" i="2"/>
  <c r="P9" i="2"/>
  <c r="T9" i="2" s="1"/>
  <c r="R9" i="2"/>
  <c r="S9" i="2" s="1"/>
  <c r="AA10" i="2"/>
  <c r="AD9" i="2"/>
  <c r="AE9" i="2" s="1"/>
  <c r="AB9" i="2"/>
  <c r="C10" i="10"/>
  <c r="D9" i="10"/>
  <c r="F9" i="10"/>
  <c r="G9" i="10" s="1"/>
  <c r="AF8" i="10"/>
  <c r="AG8" i="10" s="1"/>
  <c r="AK8" i="10" s="1"/>
  <c r="Z8" i="2"/>
  <c r="T8" i="2"/>
  <c r="AG8" i="2" s="1"/>
  <c r="C7" i="3" s="1"/>
  <c r="E7" i="3" s="1"/>
  <c r="AA10" i="10"/>
  <c r="AB9" i="10"/>
  <c r="AD9" i="10"/>
  <c r="AE9" i="10" s="1"/>
  <c r="AF9" i="10" s="1"/>
  <c r="U10" i="2"/>
  <c r="V9" i="2"/>
  <c r="X9" i="2"/>
  <c r="Y9" i="2" s="1"/>
  <c r="AF8" i="2"/>
  <c r="H9" i="2"/>
  <c r="F10" i="2"/>
  <c r="G10" i="2" s="1"/>
  <c r="D10" i="2"/>
  <c r="U11" i="10" l="1"/>
  <c r="V10" i="10"/>
  <c r="X10" i="10"/>
  <c r="Y10" i="10" s="1"/>
  <c r="H9" i="10"/>
  <c r="T9" i="10"/>
  <c r="I11" i="2"/>
  <c r="L10" i="2"/>
  <c r="M10" i="2" s="1"/>
  <c r="J10" i="2"/>
  <c r="N10" i="2" s="1"/>
  <c r="O11" i="2"/>
  <c r="P10" i="2"/>
  <c r="R10" i="2"/>
  <c r="S10" i="2" s="1"/>
  <c r="I11" i="10"/>
  <c r="J10" i="10"/>
  <c r="L10" i="10"/>
  <c r="M10" i="10" s="1"/>
  <c r="N10" i="10" s="1"/>
  <c r="U11" i="2"/>
  <c r="V10" i="2"/>
  <c r="X10" i="2"/>
  <c r="Y10" i="2" s="1"/>
  <c r="AA11" i="2"/>
  <c r="AD10" i="2"/>
  <c r="AE10" i="2" s="1"/>
  <c r="AB10" i="2"/>
  <c r="AF10" i="2" s="1"/>
  <c r="AA11" i="10"/>
  <c r="AB10" i="10"/>
  <c r="AD10" i="10"/>
  <c r="AE10" i="10" s="1"/>
  <c r="AF10" i="10" s="1"/>
  <c r="C11" i="10"/>
  <c r="D10" i="10"/>
  <c r="F10" i="10"/>
  <c r="G10" i="10" s="1"/>
  <c r="H10" i="10" s="1"/>
  <c r="O11" i="10"/>
  <c r="P10" i="10"/>
  <c r="R10" i="10"/>
  <c r="S10" i="10" s="1"/>
  <c r="T10" i="10" s="1"/>
  <c r="Z9" i="2"/>
  <c r="AG9" i="2" s="1"/>
  <c r="AI9" i="2" s="1"/>
  <c r="AF9" i="2"/>
  <c r="N9" i="2"/>
  <c r="Z9" i="10"/>
  <c r="H10" i="2"/>
  <c r="F11" i="2"/>
  <c r="G11" i="2" s="1"/>
  <c r="D11" i="2"/>
  <c r="AI8" i="2"/>
  <c r="I12" i="2" l="1"/>
  <c r="J11" i="2"/>
  <c r="N11" i="2" s="1"/>
  <c r="L11" i="2"/>
  <c r="M11" i="2" s="1"/>
  <c r="Z10" i="2"/>
  <c r="T10" i="2"/>
  <c r="AG10" i="2" s="1"/>
  <c r="AI10" i="2" s="1"/>
  <c r="AG9" i="10"/>
  <c r="AK9" i="10" s="1"/>
  <c r="AA12" i="2"/>
  <c r="AD11" i="2"/>
  <c r="AE11" i="2" s="1"/>
  <c r="AB11" i="2"/>
  <c r="O12" i="10"/>
  <c r="P11" i="10"/>
  <c r="R11" i="10"/>
  <c r="S11" i="10" s="1"/>
  <c r="T11" i="10" s="1"/>
  <c r="AA12" i="10"/>
  <c r="AB11" i="10"/>
  <c r="AD11" i="10"/>
  <c r="AE11" i="10" s="1"/>
  <c r="U12" i="2"/>
  <c r="V11" i="2"/>
  <c r="X11" i="2"/>
  <c r="Y11" i="2" s="1"/>
  <c r="O12" i="2"/>
  <c r="R11" i="2"/>
  <c r="S11" i="2" s="1"/>
  <c r="P11" i="2"/>
  <c r="Z10" i="10"/>
  <c r="C12" i="10"/>
  <c r="D11" i="10"/>
  <c r="F11" i="10"/>
  <c r="G11" i="10" s="1"/>
  <c r="AG10" i="10"/>
  <c r="AK10" i="10" s="1"/>
  <c r="I12" i="10"/>
  <c r="J11" i="10"/>
  <c r="L11" i="10"/>
  <c r="M11" i="10" s="1"/>
  <c r="N11" i="10" s="1"/>
  <c r="U12" i="10"/>
  <c r="V11" i="10"/>
  <c r="X11" i="10"/>
  <c r="Y11" i="10" s="1"/>
  <c r="Z11" i="10" s="1"/>
  <c r="H11" i="2"/>
  <c r="F12" i="2"/>
  <c r="G12" i="2" s="1"/>
  <c r="D12" i="2"/>
  <c r="C8" i="3"/>
  <c r="E8" i="3" s="1"/>
  <c r="C13" i="10" l="1"/>
  <c r="D12" i="10"/>
  <c r="F12" i="10"/>
  <c r="G12" i="10" s="1"/>
  <c r="U13" i="2"/>
  <c r="X12" i="2"/>
  <c r="Y12" i="2" s="1"/>
  <c r="V12" i="2"/>
  <c r="Z12" i="2" s="1"/>
  <c r="O13" i="10"/>
  <c r="P12" i="10"/>
  <c r="R12" i="10"/>
  <c r="S12" i="10" s="1"/>
  <c r="I13" i="10"/>
  <c r="J12" i="10"/>
  <c r="L12" i="10"/>
  <c r="M12" i="10" s="1"/>
  <c r="T11" i="2"/>
  <c r="AF11" i="10"/>
  <c r="AF11" i="2"/>
  <c r="AG11" i="2" s="1"/>
  <c r="AI11" i="2" s="1"/>
  <c r="U13" i="10"/>
  <c r="V12" i="10"/>
  <c r="X12" i="10"/>
  <c r="Y12" i="10" s="1"/>
  <c r="Z11" i="2"/>
  <c r="H11" i="10"/>
  <c r="AG11" i="10" s="1"/>
  <c r="AK11" i="10" s="1"/>
  <c r="O13" i="2"/>
  <c r="R12" i="2"/>
  <c r="S12" i="2" s="1"/>
  <c r="P12" i="2"/>
  <c r="T12" i="2" s="1"/>
  <c r="AA13" i="10"/>
  <c r="AB12" i="10"/>
  <c r="AD12" i="10"/>
  <c r="AE12" i="10" s="1"/>
  <c r="AA13" i="2"/>
  <c r="AB12" i="2"/>
  <c r="AD12" i="2"/>
  <c r="AE12" i="2" s="1"/>
  <c r="I13" i="2"/>
  <c r="J12" i="2"/>
  <c r="L12" i="2"/>
  <c r="M12" i="2" s="1"/>
  <c r="H12" i="2"/>
  <c r="F13" i="2"/>
  <c r="G13" i="2" s="1"/>
  <c r="D13" i="2"/>
  <c r="C9" i="3"/>
  <c r="E9" i="3" s="1"/>
  <c r="AF12" i="2" l="1"/>
  <c r="I14" i="10"/>
  <c r="J13" i="10"/>
  <c r="L13" i="10"/>
  <c r="M13" i="10" s="1"/>
  <c r="N13" i="10" s="1"/>
  <c r="O14" i="2"/>
  <c r="P13" i="2"/>
  <c r="T13" i="2" s="1"/>
  <c r="R13" i="2"/>
  <c r="S13" i="2" s="1"/>
  <c r="AF12" i="10"/>
  <c r="T12" i="10"/>
  <c r="H12" i="10"/>
  <c r="U14" i="10"/>
  <c r="V13" i="10"/>
  <c r="X13" i="10"/>
  <c r="Y13" i="10" s="1"/>
  <c r="AA14" i="2"/>
  <c r="AB13" i="2"/>
  <c r="AD13" i="2"/>
  <c r="AE13" i="2" s="1"/>
  <c r="N12" i="2"/>
  <c r="U14" i="2"/>
  <c r="X13" i="2"/>
  <c r="Y13" i="2" s="1"/>
  <c r="V13" i="2"/>
  <c r="Z13" i="2" s="1"/>
  <c r="I14" i="2"/>
  <c r="J13" i="2"/>
  <c r="L13" i="2"/>
  <c r="M13" i="2" s="1"/>
  <c r="AA14" i="10"/>
  <c r="AB13" i="10"/>
  <c r="AD13" i="10"/>
  <c r="AE13" i="10" s="1"/>
  <c r="AF13" i="10" s="1"/>
  <c r="Z12" i="10"/>
  <c r="N12" i="10"/>
  <c r="O14" i="10"/>
  <c r="P13" i="10"/>
  <c r="R13" i="10"/>
  <c r="S13" i="10" s="1"/>
  <c r="C14" i="10"/>
  <c r="D13" i="10"/>
  <c r="F13" i="10"/>
  <c r="G13" i="10" s="1"/>
  <c r="H13" i="10" s="1"/>
  <c r="AG12" i="2"/>
  <c r="AI12" i="2" s="1"/>
  <c r="H13" i="2"/>
  <c r="F14" i="2"/>
  <c r="G14" i="2" s="1"/>
  <c r="D14" i="2"/>
  <c r="C10" i="3"/>
  <c r="E10" i="3" s="1"/>
  <c r="AA15" i="10" l="1"/>
  <c r="AB14" i="10"/>
  <c r="AD14" i="10"/>
  <c r="AE14" i="10" s="1"/>
  <c r="AF14" i="10" s="1"/>
  <c r="U15" i="2"/>
  <c r="V14" i="2"/>
  <c r="Z14" i="2" s="1"/>
  <c r="X14" i="2"/>
  <c r="Y14" i="2" s="1"/>
  <c r="N13" i="2"/>
  <c r="AG13" i="2" s="1"/>
  <c r="AI13" i="2" s="1"/>
  <c r="AG12" i="10"/>
  <c r="AK12" i="10" s="1"/>
  <c r="O15" i="10"/>
  <c r="P14" i="10"/>
  <c r="R14" i="10"/>
  <c r="S14" i="10" s="1"/>
  <c r="O15" i="2"/>
  <c r="R14" i="2"/>
  <c r="S14" i="2" s="1"/>
  <c r="P14" i="2"/>
  <c r="T14" i="2" s="1"/>
  <c r="I15" i="2"/>
  <c r="J14" i="2"/>
  <c r="N14" i="2" s="1"/>
  <c r="L14" i="2"/>
  <c r="M14" i="2" s="1"/>
  <c r="AF13" i="2"/>
  <c r="C15" i="10"/>
  <c r="D14" i="10"/>
  <c r="F14" i="10"/>
  <c r="G14" i="10" s="1"/>
  <c r="H14" i="10" s="1"/>
  <c r="I15" i="10"/>
  <c r="J14" i="10"/>
  <c r="L14" i="10"/>
  <c r="M14" i="10" s="1"/>
  <c r="N14" i="10" s="1"/>
  <c r="U15" i="10"/>
  <c r="V14" i="10"/>
  <c r="X14" i="10"/>
  <c r="Y14" i="10" s="1"/>
  <c r="Z14" i="10" s="1"/>
  <c r="AA15" i="2"/>
  <c r="AD14" i="2"/>
  <c r="AE14" i="2" s="1"/>
  <c r="AB14" i="2"/>
  <c r="AF14" i="2" s="1"/>
  <c r="T13" i="10"/>
  <c r="AG13" i="10" s="1"/>
  <c r="AK13" i="10" s="1"/>
  <c r="Z13" i="10"/>
  <c r="H14" i="2"/>
  <c r="AG14" i="2" s="1"/>
  <c r="AI14" i="2" s="1"/>
  <c r="D15" i="2"/>
  <c r="F15" i="2"/>
  <c r="G15" i="2" s="1"/>
  <c r="C11" i="3"/>
  <c r="E11" i="3" s="1"/>
  <c r="AA16" i="2" l="1"/>
  <c r="AD15" i="2"/>
  <c r="AE15" i="2" s="1"/>
  <c r="AB15" i="2"/>
  <c r="AF15" i="2" s="1"/>
  <c r="I16" i="10"/>
  <c r="J15" i="10"/>
  <c r="L15" i="10"/>
  <c r="M15" i="10" s="1"/>
  <c r="I16" i="2"/>
  <c r="J15" i="2"/>
  <c r="L15" i="2"/>
  <c r="M15" i="2" s="1"/>
  <c r="U16" i="2"/>
  <c r="X15" i="2"/>
  <c r="Y15" i="2" s="1"/>
  <c r="V15" i="2"/>
  <c r="C16" i="10"/>
  <c r="D15" i="10"/>
  <c r="F15" i="10"/>
  <c r="G15" i="10" s="1"/>
  <c r="H15" i="10" s="1"/>
  <c r="O16" i="10"/>
  <c r="P15" i="10"/>
  <c r="R15" i="10"/>
  <c r="S15" i="10" s="1"/>
  <c r="O16" i="2"/>
  <c r="R15" i="2"/>
  <c r="S15" i="2" s="1"/>
  <c r="P15" i="2"/>
  <c r="T15" i="2" s="1"/>
  <c r="AA16" i="10"/>
  <c r="AB15" i="10"/>
  <c r="AD15" i="10"/>
  <c r="AE15" i="10" s="1"/>
  <c r="U16" i="10"/>
  <c r="V15" i="10"/>
  <c r="X15" i="10"/>
  <c r="Y15" i="10" s="1"/>
  <c r="Z15" i="10" s="1"/>
  <c r="T14" i="10"/>
  <c r="AG14" i="10" s="1"/>
  <c r="AK14" i="10" s="1"/>
  <c r="H15" i="2"/>
  <c r="D16" i="2"/>
  <c r="F16" i="2"/>
  <c r="G16" i="2" s="1"/>
  <c r="C12" i="3"/>
  <c r="E12" i="3" s="1"/>
  <c r="AF15" i="10" l="1"/>
  <c r="T15" i="10"/>
  <c r="Z15" i="2"/>
  <c r="N15" i="10"/>
  <c r="AG15" i="10" s="1"/>
  <c r="AK15" i="10" s="1"/>
  <c r="U17" i="2"/>
  <c r="V16" i="2"/>
  <c r="X16" i="2"/>
  <c r="Y16" i="2" s="1"/>
  <c r="AA17" i="10"/>
  <c r="AB16" i="10"/>
  <c r="AD16" i="10"/>
  <c r="AE16" i="10" s="1"/>
  <c r="I17" i="10"/>
  <c r="J16" i="10"/>
  <c r="L16" i="10"/>
  <c r="M16" i="10" s="1"/>
  <c r="U17" i="10"/>
  <c r="V16" i="10"/>
  <c r="X16" i="10"/>
  <c r="Y16" i="10" s="1"/>
  <c r="N15" i="2"/>
  <c r="AG15" i="2" s="1"/>
  <c r="AI15" i="2" s="1"/>
  <c r="O17" i="10"/>
  <c r="P16" i="10"/>
  <c r="R16" i="10"/>
  <c r="S16" i="10" s="1"/>
  <c r="T16" i="10" s="1"/>
  <c r="O17" i="2"/>
  <c r="P16" i="2"/>
  <c r="T16" i="2" s="1"/>
  <c r="R16" i="2"/>
  <c r="S16" i="2" s="1"/>
  <c r="C17" i="10"/>
  <c r="D16" i="10"/>
  <c r="F16" i="10"/>
  <c r="G16" i="10" s="1"/>
  <c r="H16" i="10" s="1"/>
  <c r="I17" i="2"/>
  <c r="L16" i="2"/>
  <c r="M16" i="2" s="1"/>
  <c r="J16" i="2"/>
  <c r="AA17" i="2"/>
  <c r="AB16" i="2"/>
  <c r="AD16" i="2"/>
  <c r="AE16" i="2" s="1"/>
  <c r="H16" i="2"/>
  <c r="F17" i="2"/>
  <c r="G17" i="2" s="1"/>
  <c r="D17" i="2"/>
  <c r="C13" i="3"/>
  <c r="E13" i="3" s="1"/>
  <c r="Z16" i="10" l="1"/>
  <c r="AF16" i="10"/>
  <c r="U18" i="2"/>
  <c r="V17" i="2"/>
  <c r="X17" i="2"/>
  <c r="Y17" i="2" s="1"/>
  <c r="I18" i="2"/>
  <c r="J17" i="2"/>
  <c r="L17" i="2"/>
  <c r="M17" i="2" s="1"/>
  <c r="AA18" i="10"/>
  <c r="AB17" i="10"/>
  <c r="AD17" i="10"/>
  <c r="AE17" i="10" s="1"/>
  <c r="AF17" i="10" s="1"/>
  <c r="AF16" i="2"/>
  <c r="N16" i="10"/>
  <c r="O18" i="2"/>
  <c r="R17" i="2"/>
  <c r="S17" i="2" s="1"/>
  <c r="P17" i="2"/>
  <c r="T17" i="2" s="1"/>
  <c r="AA18" i="2"/>
  <c r="AB17" i="2"/>
  <c r="AF17" i="2" s="1"/>
  <c r="AD17" i="2"/>
  <c r="AE17" i="2" s="1"/>
  <c r="O18" i="10"/>
  <c r="P17" i="10"/>
  <c r="R17" i="10"/>
  <c r="S17" i="10" s="1"/>
  <c r="T17" i="10" s="1"/>
  <c r="AG16" i="10"/>
  <c r="AK16" i="10" s="1"/>
  <c r="U18" i="10"/>
  <c r="V17" i="10"/>
  <c r="X17" i="10"/>
  <c r="Y17" i="10" s="1"/>
  <c r="Z17" i="10" s="1"/>
  <c r="C18" i="10"/>
  <c r="D17" i="10"/>
  <c r="F17" i="10"/>
  <c r="G17" i="10" s="1"/>
  <c r="N16" i="2"/>
  <c r="I18" i="10"/>
  <c r="J17" i="10"/>
  <c r="L17" i="10"/>
  <c r="M17" i="10" s="1"/>
  <c r="N17" i="10" s="1"/>
  <c r="Z16" i="2"/>
  <c r="AG16" i="2" s="1"/>
  <c r="AI16" i="2" s="1"/>
  <c r="H17" i="2"/>
  <c r="F18" i="2"/>
  <c r="G18" i="2" s="1"/>
  <c r="D18" i="2"/>
  <c r="C14" i="3"/>
  <c r="E14" i="3" s="1"/>
  <c r="H17" i="10" l="1"/>
  <c r="AG17" i="10" s="1"/>
  <c r="AK17" i="10" s="1"/>
  <c r="I19" i="2"/>
  <c r="L18" i="2"/>
  <c r="M18" i="2" s="1"/>
  <c r="J18" i="2"/>
  <c r="N18" i="2" s="1"/>
  <c r="AA19" i="10"/>
  <c r="AB18" i="10"/>
  <c r="AD18" i="10"/>
  <c r="AE18" i="10" s="1"/>
  <c r="U19" i="2"/>
  <c r="V18" i="2"/>
  <c r="X18" i="2"/>
  <c r="Y18" i="2" s="1"/>
  <c r="AA19" i="2"/>
  <c r="AD18" i="2"/>
  <c r="AE18" i="2" s="1"/>
  <c r="AB18" i="2"/>
  <c r="O19" i="10"/>
  <c r="P18" i="10"/>
  <c r="R18" i="10"/>
  <c r="S18" i="10" s="1"/>
  <c r="T18" i="10" s="1"/>
  <c r="O19" i="2"/>
  <c r="R18" i="2"/>
  <c r="S18" i="2" s="1"/>
  <c r="P18" i="2"/>
  <c r="C19" i="10"/>
  <c r="D18" i="10"/>
  <c r="F18" i="10"/>
  <c r="G18" i="10" s="1"/>
  <c r="H18" i="10" s="1"/>
  <c r="Z17" i="2"/>
  <c r="I19" i="10"/>
  <c r="J18" i="10"/>
  <c r="L18" i="10"/>
  <c r="M18" i="10" s="1"/>
  <c r="N18" i="10" s="1"/>
  <c r="U19" i="10"/>
  <c r="V18" i="10"/>
  <c r="X18" i="10"/>
  <c r="Y18" i="10" s="1"/>
  <c r="Z18" i="10" s="1"/>
  <c r="N17" i="2"/>
  <c r="AG17" i="2" s="1"/>
  <c r="AI17" i="2" s="1"/>
  <c r="H18" i="2"/>
  <c r="F19" i="2"/>
  <c r="G19" i="2" s="1"/>
  <c r="D19" i="2"/>
  <c r="C15" i="3"/>
  <c r="E15" i="3" s="1"/>
  <c r="AA20" i="10" l="1"/>
  <c r="AB19" i="10"/>
  <c r="AD19" i="10"/>
  <c r="AE19" i="10" s="1"/>
  <c r="AF19" i="10" s="1"/>
  <c r="I20" i="10"/>
  <c r="J19" i="10"/>
  <c r="L19" i="10"/>
  <c r="M19" i="10" s="1"/>
  <c r="Z18" i="2"/>
  <c r="AA20" i="2"/>
  <c r="AD19" i="2"/>
  <c r="AE19" i="2" s="1"/>
  <c r="AB19" i="2"/>
  <c r="AF19" i="2" s="1"/>
  <c r="AG18" i="10"/>
  <c r="AK18" i="10" s="1"/>
  <c r="AG18" i="2"/>
  <c r="AI18" i="2" s="1"/>
  <c r="C20" i="10"/>
  <c r="D19" i="10"/>
  <c r="F19" i="10"/>
  <c r="G19" i="10" s="1"/>
  <c r="H19" i="10" s="1"/>
  <c r="O20" i="10"/>
  <c r="P19" i="10"/>
  <c r="R19" i="10"/>
  <c r="S19" i="10" s="1"/>
  <c r="U20" i="2"/>
  <c r="V19" i="2"/>
  <c r="X19" i="2"/>
  <c r="Y19" i="2" s="1"/>
  <c r="I20" i="2"/>
  <c r="J19" i="2"/>
  <c r="N19" i="2" s="1"/>
  <c r="L19" i="2"/>
  <c r="M19" i="2" s="1"/>
  <c r="O20" i="2"/>
  <c r="P19" i="2"/>
  <c r="R19" i="2"/>
  <c r="S19" i="2" s="1"/>
  <c r="U20" i="10"/>
  <c r="V19" i="10"/>
  <c r="X19" i="10"/>
  <c r="Y19" i="10" s="1"/>
  <c r="T18" i="2"/>
  <c r="AF18" i="2"/>
  <c r="AF18" i="10"/>
  <c r="H19" i="2"/>
  <c r="F20" i="2"/>
  <c r="G20" i="2" s="1"/>
  <c r="D20" i="2"/>
  <c r="C16" i="3"/>
  <c r="E16" i="3" s="1"/>
  <c r="Z19" i="10" l="1"/>
  <c r="T19" i="10"/>
  <c r="N19" i="10"/>
  <c r="AG19" i="10" s="1"/>
  <c r="AK19" i="10" s="1"/>
  <c r="I21" i="10"/>
  <c r="J20" i="10"/>
  <c r="L20" i="10"/>
  <c r="M20" i="10" s="1"/>
  <c r="I21" i="2"/>
  <c r="J20" i="2"/>
  <c r="L20" i="2"/>
  <c r="M20" i="2" s="1"/>
  <c r="Z19" i="2"/>
  <c r="AA21" i="2"/>
  <c r="AB20" i="2"/>
  <c r="AD20" i="2"/>
  <c r="AE20" i="2" s="1"/>
  <c r="U21" i="10"/>
  <c r="V20" i="10"/>
  <c r="X20" i="10"/>
  <c r="Y20" i="10" s="1"/>
  <c r="O21" i="10"/>
  <c r="P20" i="10"/>
  <c r="R20" i="10"/>
  <c r="S20" i="10" s="1"/>
  <c r="T20" i="10" s="1"/>
  <c r="T19" i="2"/>
  <c r="AG19" i="2" s="1"/>
  <c r="AI19" i="2" s="1"/>
  <c r="O21" i="2"/>
  <c r="P20" i="2"/>
  <c r="T20" i="2" s="1"/>
  <c r="R20" i="2"/>
  <c r="S20" i="2" s="1"/>
  <c r="U21" i="2"/>
  <c r="X20" i="2"/>
  <c r="Y20" i="2" s="1"/>
  <c r="V20" i="2"/>
  <c r="Z20" i="2" s="1"/>
  <c r="C21" i="10"/>
  <c r="D20" i="10"/>
  <c r="F20" i="10"/>
  <c r="G20" i="10" s="1"/>
  <c r="AA21" i="10"/>
  <c r="AB20" i="10"/>
  <c r="AD20" i="10"/>
  <c r="AE20" i="10" s="1"/>
  <c r="AF20" i="10" s="1"/>
  <c r="H20" i="2"/>
  <c r="F21" i="2"/>
  <c r="G21" i="2" s="1"/>
  <c r="D21" i="2"/>
  <c r="C17" i="3"/>
  <c r="E17" i="3" s="1"/>
  <c r="O22" i="2" l="1"/>
  <c r="R21" i="2"/>
  <c r="S21" i="2" s="1"/>
  <c r="P21" i="2"/>
  <c r="T21" i="2" s="1"/>
  <c r="Z20" i="10"/>
  <c r="I22" i="10"/>
  <c r="J21" i="10"/>
  <c r="L21" i="10"/>
  <c r="M21" i="10" s="1"/>
  <c r="U22" i="10"/>
  <c r="V21" i="10"/>
  <c r="X21" i="10"/>
  <c r="Y21" i="10" s="1"/>
  <c r="Z21" i="10" s="1"/>
  <c r="I22" i="2"/>
  <c r="J21" i="2"/>
  <c r="N21" i="2" s="1"/>
  <c r="L21" i="2"/>
  <c r="M21" i="2" s="1"/>
  <c r="AA22" i="10"/>
  <c r="AB21" i="10"/>
  <c r="AD21" i="10"/>
  <c r="AE21" i="10" s="1"/>
  <c r="AF21" i="10" s="1"/>
  <c r="U22" i="2"/>
  <c r="V21" i="2"/>
  <c r="Z21" i="2" s="1"/>
  <c r="X21" i="2"/>
  <c r="Y21" i="2" s="1"/>
  <c r="AF20" i="2"/>
  <c r="C22" i="10"/>
  <c r="D21" i="10"/>
  <c r="F21" i="10"/>
  <c r="G21" i="10" s="1"/>
  <c r="H21" i="10" s="1"/>
  <c r="N20" i="2"/>
  <c r="AG20" i="2" s="1"/>
  <c r="AI20" i="2" s="1"/>
  <c r="H20" i="10"/>
  <c r="O22" i="10"/>
  <c r="P21" i="10"/>
  <c r="R21" i="10"/>
  <c r="S21" i="10" s="1"/>
  <c r="T21" i="10" s="1"/>
  <c r="AA22" i="2"/>
  <c r="AB21" i="2"/>
  <c r="AF21" i="2" s="1"/>
  <c r="AD21" i="2"/>
  <c r="AE21" i="2" s="1"/>
  <c r="N20" i="10"/>
  <c r="H21" i="2"/>
  <c r="AG21" i="2" s="1"/>
  <c r="AI21" i="2" s="1"/>
  <c r="F22" i="2"/>
  <c r="G22" i="2" s="1"/>
  <c r="D22" i="2"/>
  <c r="C18" i="3"/>
  <c r="E18" i="3" s="1"/>
  <c r="U23" i="2" l="1"/>
  <c r="X22" i="2"/>
  <c r="Y22" i="2" s="1"/>
  <c r="V22" i="2"/>
  <c r="Z22" i="2" s="1"/>
  <c r="I23" i="2"/>
  <c r="L22" i="2"/>
  <c r="M22" i="2" s="1"/>
  <c r="J22" i="2"/>
  <c r="O23" i="10"/>
  <c r="P22" i="10"/>
  <c r="R22" i="10"/>
  <c r="S22" i="10" s="1"/>
  <c r="T22" i="10" s="1"/>
  <c r="AA23" i="10"/>
  <c r="AB22" i="10"/>
  <c r="AD22" i="10"/>
  <c r="AE22" i="10" s="1"/>
  <c r="U23" i="10"/>
  <c r="V22" i="10"/>
  <c r="X22" i="10"/>
  <c r="Y22" i="10" s="1"/>
  <c r="Z22" i="10" s="1"/>
  <c r="AA23" i="2"/>
  <c r="AD22" i="2"/>
  <c r="AE22" i="2" s="1"/>
  <c r="AB22" i="2"/>
  <c r="I23" i="10"/>
  <c r="J22" i="10"/>
  <c r="L22" i="10"/>
  <c r="M22" i="10" s="1"/>
  <c r="N22" i="10" s="1"/>
  <c r="C23" i="10"/>
  <c r="D22" i="10"/>
  <c r="F22" i="10"/>
  <c r="G22" i="10" s="1"/>
  <c r="AG20" i="10"/>
  <c r="AK20" i="10" s="1"/>
  <c r="N21" i="10"/>
  <c r="AG21" i="10" s="1"/>
  <c r="AK21" i="10" s="1"/>
  <c r="O23" i="2"/>
  <c r="P22" i="2"/>
  <c r="T22" i="2" s="1"/>
  <c r="R22" i="2"/>
  <c r="S22" i="2" s="1"/>
  <c r="H22" i="2"/>
  <c r="F23" i="2"/>
  <c r="G23" i="2" s="1"/>
  <c r="D23" i="2"/>
  <c r="C19" i="3"/>
  <c r="E19" i="3" s="1"/>
  <c r="I24" i="2" l="1"/>
  <c r="J23" i="2"/>
  <c r="L23" i="2"/>
  <c r="M23" i="2" s="1"/>
  <c r="C24" i="10"/>
  <c r="D23" i="10"/>
  <c r="F23" i="10"/>
  <c r="G23" i="10" s="1"/>
  <c r="O24" i="2"/>
  <c r="P23" i="2"/>
  <c r="R23" i="2"/>
  <c r="S23" i="2" s="1"/>
  <c r="AA24" i="2"/>
  <c r="AD23" i="2"/>
  <c r="AE23" i="2" s="1"/>
  <c r="AB23" i="2"/>
  <c r="I24" i="10"/>
  <c r="J23" i="10"/>
  <c r="L23" i="10"/>
  <c r="M23" i="10" s="1"/>
  <c r="N23" i="10" s="1"/>
  <c r="U24" i="10"/>
  <c r="V23" i="10"/>
  <c r="X23" i="10"/>
  <c r="Y23" i="10" s="1"/>
  <c r="O24" i="10"/>
  <c r="P23" i="10"/>
  <c r="R23" i="10"/>
  <c r="S23" i="10" s="1"/>
  <c r="T23" i="10" s="1"/>
  <c r="U24" i="2"/>
  <c r="X23" i="2"/>
  <c r="Y23" i="2" s="1"/>
  <c r="V23" i="2"/>
  <c r="AA24" i="10"/>
  <c r="AB23" i="10"/>
  <c r="AD23" i="10"/>
  <c r="AE23" i="10" s="1"/>
  <c r="AF23" i="10" s="1"/>
  <c r="H22" i="10"/>
  <c r="AF22" i="2"/>
  <c r="AF22" i="10"/>
  <c r="N22" i="2"/>
  <c r="AG22" i="2" s="1"/>
  <c r="AI22" i="2" s="1"/>
  <c r="H23" i="2"/>
  <c r="D24" i="2"/>
  <c r="F24" i="2"/>
  <c r="G24" i="2" s="1"/>
  <c r="C20" i="3"/>
  <c r="E20" i="3" s="1"/>
  <c r="Z23" i="2" l="1"/>
  <c r="Z23" i="10"/>
  <c r="AF23" i="2"/>
  <c r="H23" i="10"/>
  <c r="AG23" i="10" s="1"/>
  <c r="AK23" i="10" s="1"/>
  <c r="C25" i="10"/>
  <c r="D24" i="10"/>
  <c r="F24" i="10"/>
  <c r="G24" i="10" s="1"/>
  <c r="U25" i="10"/>
  <c r="V24" i="10"/>
  <c r="X24" i="10"/>
  <c r="Y24" i="10" s="1"/>
  <c r="Z24" i="10" s="1"/>
  <c r="U25" i="2"/>
  <c r="X24" i="2"/>
  <c r="Y24" i="2" s="1"/>
  <c r="V24" i="2"/>
  <c r="T23" i="2"/>
  <c r="N23" i="2"/>
  <c r="AG23" i="2" s="1"/>
  <c r="AI23" i="2" s="1"/>
  <c r="AG22" i="10"/>
  <c r="AK22" i="10" s="1"/>
  <c r="AA25" i="2"/>
  <c r="AD24" i="2"/>
  <c r="AE24" i="2" s="1"/>
  <c r="AB24" i="2"/>
  <c r="AA25" i="10"/>
  <c r="AB24" i="10"/>
  <c r="AD24" i="10"/>
  <c r="AE24" i="10" s="1"/>
  <c r="AF24" i="10" s="1"/>
  <c r="O25" i="10"/>
  <c r="P24" i="10"/>
  <c r="R24" i="10"/>
  <c r="S24" i="10" s="1"/>
  <c r="I25" i="10"/>
  <c r="J24" i="10"/>
  <c r="L24" i="10"/>
  <c r="M24" i="10" s="1"/>
  <c r="N24" i="10" s="1"/>
  <c r="O25" i="2"/>
  <c r="R24" i="2"/>
  <c r="S24" i="2" s="1"/>
  <c r="P24" i="2"/>
  <c r="I25" i="2"/>
  <c r="J24" i="2"/>
  <c r="L24" i="2"/>
  <c r="M24" i="2" s="1"/>
  <c r="H24" i="2"/>
  <c r="F25" i="2"/>
  <c r="G25" i="2" s="1"/>
  <c r="D25" i="2"/>
  <c r="C21" i="3"/>
  <c r="E21" i="3" s="1"/>
  <c r="U26" i="2" l="1"/>
  <c r="V25" i="2"/>
  <c r="X25" i="2"/>
  <c r="Y25" i="2" s="1"/>
  <c r="O26" i="2"/>
  <c r="P25" i="2"/>
  <c r="T25" i="2" s="1"/>
  <c r="R25" i="2"/>
  <c r="S25" i="2" s="1"/>
  <c r="O26" i="10"/>
  <c r="P25" i="10"/>
  <c r="R25" i="10"/>
  <c r="S25" i="10" s="1"/>
  <c r="T25" i="10" s="1"/>
  <c r="AA26" i="2"/>
  <c r="AB25" i="2"/>
  <c r="AF25" i="2" s="1"/>
  <c r="AD25" i="2"/>
  <c r="AE25" i="2" s="1"/>
  <c r="C26" i="10"/>
  <c r="D25" i="10"/>
  <c r="F25" i="10"/>
  <c r="G25" i="10" s="1"/>
  <c r="H25" i="10" s="1"/>
  <c r="I26" i="2"/>
  <c r="J25" i="2"/>
  <c r="N25" i="2" s="1"/>
  <c r="L25" i="2"/>
  <c r="M25" i="2" s="1"/>
  <c r="AA26" i="10"/>
  <c r="AB25" i="10"/>
  <c r="AD25" i="10"/>
  <c r="AE25" i="10" s="1"/>
  <c r="AF25" i="10" s="1"/>
  <c r="I26" i="10"/>
  <c r="J25" i="10"/>
  <c r="L25" i="10"/>
  <c r="M25" i="10" s="1"/>
  <c r="T24" i="2"/>
  <c r="T24" i="10"/>
  <c r="AF24" i="2"/>
  <c r="AG24" i="2" s="1"/>
  <c r="AI24" i="2" s="1"/>
  <c r="U26" i="10"/>
  <c r="V25" i="10"/>
  <c r="X25" i="10"/>
  <c r="Y25" i="10" s="1"/>
  <c r="N24" i="2"/>
  <c r="Z24" i="2"/>
  <c r="H24" i="10"/>
  <c r="AG24" i="10" s="1"/>
  <c r="AK24" i="10" s="1"/>
  <c r="H25" i="2"/>
  <c r="F26" i="2"/>
  <c r="G26" i="2" s="1"/>
  <c r="D26" i="2"/>
  <c r="C22" i="3"/>
  <c r="E22" i="3" s="1"/>
  <c r="U27" i="10" l="1"/>
  <c r="V26" i="10"/>
  <c r="X26" i="10"/>
  <c r="Y26" i="10" s="1"/>
  <c r="Z26" i="10" s="1"/>
  <c r="AA27" i="2"/>
  <c r="AD26" i="2"/>
  <c r="AE26" i="2" s="1"/>
  <c r="AB26" i="2"/>
  <c r="I27" i="10"/>
  <c r="J26" i="10"/>
  <c r="L26" i="10"/>
  <c r="M26" i="10" s="1"/>
  <c r="N26" i="10" s="1"/>
  <c r="O27" i="2"/>
  <c r="R26" i="2"/>
  <c r="S26" i="2" s="1"/>
  <c r="P26" i="2"/>
  <c r="AA27" i="10"/>
  <c r="AB26" i="10"/>
  <c r="AD26" i="10"/>
  <c r="AE26" i="10" s="1"/>
  <c r="AF26" i="10" s="1"/>
  <c r="C27" i="10"/>
  <c r="D26" i="10"/>
  <c r="F26" i="10"/>
  <c r="G26" i="10" s="1"/>
  <c r="O27" i="10"/>
  <c r="P26" i="10"/>
  <c r="R26" i="10"/>
  <c r="S26" i="10" s="1"/>
  <c r="T26" i="10" s="1"/>
  <c r="Z25" i="2"/>
  <c r="AG25" i="2" s="1"/>
  <c r="AI25" i="2" s="1"/>
  <c r="I27" i="2"/>
  <c r="J26" i="2"/>
  <c r="L26" i="2"/>
  <c r="M26" i="2" s="1"/>
  <c r="Z25" i="10"/>
  <c r="N25" i="10"/>
  <c r="AG25" i="10" s="1"/>
  <c r="AK25" i="10" s="1"/>
  <c r="U27" i="2"/>
  <c r="V26" i="2"/>
  <c r="Z26" i="2" s="1"/>
  <c r="X26" i="2"/>
  <c r="Y26" i="2" s="1"/>
  <c r="H26" i="2"/>
  <c r="F27" i="2"/>
  <c r="G27" i="2" s="1"/>
  <c r="D27" i="2"/>
  <c r="C23" i="3"/>
  <c r="E23" i="3" s="1"/>
  <c r="C28" i="10" l="1"/>
  <c r="D27" i="10"/>
  <c r="F27" i="10"/>
  <c r="G27" i="10" s="1"/>
  <c r="H27" i="10" s="1"/>
  <c r="U28" i="2"/>
  <c r="X27" i="2"/>
  <c r="Y27" i="2" s="1"/>
  <c r="V27" i="2"/>
  <c r="T26" i="2"/>
  <c r="AF26" i="2"/>
  <c r="O28" i="2"/>
  <c r="R27" i="2"/>
  <c r="S27" i="2" s="1"/>
  <c r="P27" i="2"/>
  <c r="T27" i="2" s="1"/>
  <c r="N26" i="2"/>
  <c r="AG26" i="2" s="1"/>
  <c r="AI26" i="2" s="1"/>
  <c r="O28" i="10"/>
  <c r="P27" i="10"/>
  <c r="R27" i="10"/>
  <c r="S27" i="10" s="1"/>
  <c r="T27" i="10" s="1"/>
  <c r="AA28" i="10"/>
  <c r="AB27" i="10"/>
  <c r="AD27" i="10"/>
  <c r="AE27" i="10" s="1"/>
  <c r="AA28" i="2"/>
  <c r="AD27" i="2"/>
  <c r="AE27" i="2" s="1"/>
  <c r="AB27" i="2"/>
  <c r="AF27" i="2" s="1"/>
  <c r="I28" i="2"/>
  <c r="L27" i="2"/>
  <c r="M27" i="2" s="1"/>
  <c r="J27" i="2"/>
  <c r="H26" i="10"/>
  <c r="AG26" i="10" s="1"/>
  <c r="AK26" i="10" s="1"/>
  <c r="I28" i="10"/>
  <c r="J27" i="10"/>
  <c r="L27" i="10"/>
  <c r="M27" i="10" s="1"/>
  <c r="N27" i="10" s="1"/>
  <c r="U28" i="10"/>
  <c r="V27" i="10"/>
  <c r="X27" i="10"/>
  <c r="Y27" i="10" s="1"/>
  <c r="H27" i="2"/>
  <c r="F28" i="2"/>
  <c r="G28" i="2" s="1"/>
  <c r="D28" i="2"/>
  <c r="C24" i="3"/>
  <c r="E24" i="3" s="1"/>
  <c r="U29" i="10" l="1"/>
  <c r="V28" i="10"/>
  <c r="X28" i="10"/>
  <c r="Y28" i="10" s="1"/>
  <c r="Z28" i="10" s="1"/>
  <c r="N27" i="2"/>
  <c r="AG27" i="2" s="1"/>
  <c r="AI27" i="2" s="1"/>
  <c r="AF27" i="10"/>
  <c r="Z27" i="2"/>
  <c r="O29" i="2"/>
  <c r="R28" i="2"/>
  <c r="S28" i="2" s="1"/>
  <c r="P28" i="2"/>
  <c r="T28" i="2" s="1"/>
  <c r="I29" i="2"/>
  <c r="L28" i="2"/>
  <c r="M28" i="2" s="1"/>
  <c r="J28" i="2"/>
  <c r="U29" i="2"/>
  <c r="V28" i="2"/>
  <c r="X28" i="2"/>
  <c r="Y28" i="2" s="1"/>
  <c r="I29" i="10"/>
  <c r="J28" i="10"/>
  <c r="L28" i="10"/>
  <c r="M28" i="10" s="1"/>
  <c r="AA29" i="10"/>
  <c r="AB28" i="10"/>
  <c r="AD28" i="10"/>
  <c r="AE28" i="10" s="1"/>
  <c r="AF28" i="10" s="1"/>
  <c r="Z27" i="10"/>
  <c r="AG27" i="10" s="1"/>
  <c r="AK27" i="10" s="1"/>
  <c r="AA29" i="2"/>
  <c r="AD28" i="2"/>
  <c r="AE28" i="2" s="1"/>
  <c r="AB28" i="2"/>
  <c r="O29" i="10"/>
  <c r="P28" i="10"/>
  <c r="R28" i="10"/>
  <c r="S28" i="10" s="1"/>
  <c r="T28" i="10" s="1"/>
  <c r="C29" i="10"/>
  <c r="D28" i="10"/>
  <c r="F28" i="10"/>
  <c r="G28" i="10" s="1"/>
  <c r="H28" i="2"/>
  <c r="F29" i="2"/>
  <c r="G29" i="2" s="1"/>
  <c r="D29" i="2"/>
  <c r="C25" i="3"/>
  <c r="E25" i="3" s="1"/>
  <c r="I30" i="2" l="1"/>
  <c r="L29" i="2"/>
  <c r="M29" i="2" s="1"/>
  <c r="J29" i="2"/>
  <c r="N29" i="2" s="1"/>
  <c r="C30" i="10"/>
  <c r="D29" i="10"/>
  <c r="F29" i="10"/>
  <c r="G29" i="10" s="1"/>
  <c r="AA30" i="2"/>
  <c r="AB29" i="2"/>
  <c r="AD29" i="2"/>
  <c r="AE29" i="2" s="1"/>
  <c r="I30" i="10"/>
  <c r="J29" i="10"/>
  <c r="L29" i="10"/>
  <c r="M29" i="10" s="1"/>
  <c r="O30" i="10"/>
  <c r="P29" i="10"/>
  <c r="R29" i="10"/>
  <c r="S29" i="10" s="1"/>
  <c r="T29" i="10" s="1"/>
  <c r="Z28" i="2"/>
  <c r="AG28" i="2" s="1"/>
  <c r="AI28" i="2" s="1"/>
  <c r="H28" i="10"/>
  <c r="AG28" i="10" s="1"/>
  <c r="AK28" i="10" s="1"/>
  <c r="AF28" i="2"/>
  <c r="AA30" i="10"/>
  <c r="AB29" i="10"/>
  <c r="AD29" i="10"/>
  <c r="AE29" i="10" s="1"/>
  <c r="AF29" i="10" s="1"/>
  <c r="U30" i="2"/>
  <c r="X29" i="2"/>
  <c r="Y29" i="2" s="1"/>
  <c r="V29" i="2"/>
  <c r="N28" i="10"/>
  <c r="N28" i="2"/>
  <c r="O30" i="2"/>
  <c r="R29" i="2"/>
  <c r="S29" i="2" s="1"/>
  <c r="P29" i="2"/>
  <c r="T29" i="2" s="1"/>
  <c r="U30" i="10"/>
  <c r="V29" i="10"/>
  <c r="X29" i="10"/>
  <c r="Y29" i="10" s="1"/>
  <c r="H29" i="2"/>
  <c r="F30" i="2"/>
  <c r="G30" i="2" s="1"/>
  <c r="D30" i="2"/>
  <c r="C26" i="3"/>
  <c r="E26" i="3" s="1"/>
  <c r="U31" i="10" l="1"/>
  <c r="V30" i="10"/>
  <c r="X30" i="10"/>
  <c r="Y30" i="10" s="1"/>
  <c r="Z30" i="10" s="1"/>
  <c r="Z29" i="2"/>
  <c r="AG29" i="2" s="1"/>
  <c r="AI29" i="2" s="1"/>
  <c r="N29" i="10"/>
  <c r="H29" i="10"/>
  <c r="C31" i="10"/>
  <c r="D30" i="10"/>
  <c r="F30" i="10"/>
  <c r="G30" i="10" s="1"/>
  <c r="H30" i="10" s="1"/>
  <c r="U31" i="2"/>
  <c r="V30" i="2"/>
  <c r="Z30" i="2" s="1"/>
  <c r="X30" i="2"/>
  <c r="Y30" i="2" s="1"/>
  <c r="O31" i="2"/>
  <c r="R30" i="2"/>
  <c r="S30" i="2" s="1"/>
  <c r="P30" i="2"/>
  <c r="T30" i="2" s="1"/>
  <c r="Z29" i="10"/>
  <c r="AF29" i="2"/>
  <c r="I31" i="10"/>
  <c r="J30" i="10"/>
  <c r="L30" i="10"/>
  <c r="M30" i="10" s="1"/>
  <c r="N30" i="10" s="1"/>
  <c r="AA31" i="10"/>
  <c r="AB30" i="10"/>
  <c r="AD30" i="10"/>
  <c r="AE30" i="10" s="1"/>
  <c r="O31" i="10"/>
  <c r="P30" i="10"/>
  <c r="R30" i="10"/>
  <c r="S30" i="10" s="1"/>
  <c r="T30" i="10" s="1"/>
  <c r="AA31" i="2"/>
  <c r="AD30" i="2"/>
  <c r="AE30" i="2" s="1"/>
  <c r="AB30" i="2"/>
  <c r="I31" i="2"/>
  <c r="L30" i="2"/>
  <c r="M30" i="2" s="1"/>
  <c r="J30" i="2"/>
  <c r="N30" i="2" s="1"/>
  <c r="H30" i="2"/>
  <c r="D31" i="2"/>
  <c r="F31" i="2"/>
  <c r="G31" i="2" s="1"/>
  <c r="C27" i="3"/>
  <c r="E27" i="3" s="1"/>
  <c r="AA32" i="2" l="1"/>
  <c r="AD31" i="2"/>
  <c r="AE31" i="2" s="1"/>
  <c r="AB31" i="2"/>
  <c r="AF31" i="2" s="1"/>
  <c r="AF30" i="2"/>
  <c r="AG30" i="2" s="1"/>
  <c r="AI30" i="2" s="1"/>
  <c r="AF30" i="10"/>
  <c r="AG30" i="10" s="1"/>
  <c r="AK30" i="10" s="1"/>
  <c r="AG29" i="10"/>
  <c r="AK29" i="10" s="1"/>
  <c r="O32" i="2"/>
  <c r="R31" i="2"/>
  <c r="S31" i="2" s="1"/>
  <c r="P31" i="2"/>
  <c r="T31" i="2" s="1"/>
  <c r="C32" i="10"/>
  <c r="D31" i="10"/>
  <c r="F31" i="10"/>
  <c r="G31" i="10" s="1"/>
  <c r="U32" i="2"/>
  <c r="X31" i="2"/>
  <c r="Y31" i="2" s="1"/>
  <c r="V31" i="2"/>
  <c r="Z31" i="2" s="1"/>
  <c r="AA32" i="10"/>
  <c r="AB31" i="10"/>
  <c r="AD31" i="10"/>
  <c r="AE31" i="10" s="1"/>
  <c r="I32" i="2"/>
  <c r="J31" i="2"/>
  <c r="L31" i="2"/>
  <c r="M31" i="2" s="1"/>
  <c r="O32" i="10"/>
  <c r="P31" i="10"/>
  <c r="R31" i="10"/>
  <c r="S31" i="10" s="1"/>
  <c r="I32" i="10"/>
  <c r="J31" i="10"/>
  <c r="L31" i="10"/>
  <c r="M31" i="10" s="1"/>
  <c r="N31" i="10" s="1"/>
  <c r="U32" i="10"/>
  <c r="V31" i="10"/>
  <c r="X31" i="10"/>
  <c r="Y31" i="10" s="1"/>
  <c r="H31" i="2"/>
  <c r="D32" i="2"/>
  <c r="F32" i="2"/>
  <c r="G32" i="2" s="1"/>
  <c r="C28" i="3"/>
  <c r="E28" i="3" s="1"/>
  <c r="C33" i="10" l="1"/>
  <c r="D32" i="10"/>
  <c r="F32" i="10"/>
  <c r="G32" i="10" s="1"/>
  <c r="H32" i="10" s="1"/>
  <c r="U33" i="10"/>
  <c r="V32" i="10"/>
  <c r="X32" i="10"/>
  <c r="Y32" i="10" s="1"/>
  <c r="N31" i="2"/>
  <c r="AA33" i="10"/>
  <c r="AB32" i="10"/>
  <c r="AD32" i="10"/>
  <c r="AE32" i="10" s="1"/>
  <c r="AF32" i="10" s="1"/>
  <c r="AG31" i="2"/>
  <c r="AI31" i="2" s="1"/>
  <c r="I33" i="10"/>
  <c r="J32" i="10"/>
  <c r="L32" i="10"/>
  <c r="M32" i="10" s="1"/>
  <c r="N32" i="10" s="1"/>
  <c r="U33" i="2"/>
  <c r="V32" i="2"/>
  <c r="X32" i="2"/>
  <c r="Y32" i="2" s="1"/>
  <c r="O33" i="2"/>
  <c r="P32" i="2"/>
  <c r="R32" i="2"/>
  <c r="S32" i="2" s="1"/>
  <c r="O33" i="10"/>
  <c r="P32" i="10"/>
  <c r="R32" i="10"/>
  <c r="S32" i="10" s="1"/>
  <c r="T32" i="10" s="1"/>
  <c r="I33" i="2"/>
  <c r="J32" i="2"/>
  <c r="L32" i="2"/>
  <c r="M32" i="2" s="1"/>
  <c r="Z31" i="10"/>
  <c r="T31" i="10"/>
  <c r="AF31" i="10"/>
  <c r="H31" i="10"/>
  <c r="AG31" i="10" s="1"/>
  <c r="AK31" i="10" s="1"/>
  <c r="AA33" i="2"/>
  <c r="AB32" i="2"/>
  <c r="AD32" i="2"/>
  <c r="AE32" i="2" s="1"/>
  <c r="C29" i="3"/>
  <c r="E29" i="3" s="1"/>
  <c r="H32" i="2"/>
  <c r="F33" i="2"/>
  <c r="G33" i="2" s="1"/>
  <c r="D33" i="2"/>
  <c r="I34" i="2" l="1"/>
  <c r="L33" i="2"/>
  <c r="M33" i="2" s="1"/>
  <c r="J33" i="2"/>
  <c r="N33" i="2" s="1"/>
  <c r="O34" i="2"/>
  <c r="P33" i="2"/>
  <c r="T33" i="2" s="1"/>
  <c r="R33" i="2"/>
  <c r="S33" i="2" s="1"/>
  <c r="I34" i="10"/>
  <c r="J33" i="10"/>
  <c r="L33" i="10"/>
  <c r="M33" i="10" s="1"/>
  <c r="N33" i="10" s="1"/>
  <c r="Z32" i="10"/>
  <c r="AG32" i="10" s="1"/>
  <c r="AK32" i="10" s="1"/>
  <c r="Z32" i="2"/>
  <c r="U34" i="10"/>
  <c r="V33" i="10"/>
  <c r="X33" i="10"/>
  <c r="Y33" i="10" s="1"/>
  <c r="Z33" i="10" s="1"/>
  <c r="U34" i="2"/>
  <c r="V33" i="2"/>
  <c r="Z33" i="2" s="1"/>
  <c r="X33" i="2"/>
  <c r="Y33" i="2" s="1"/>
  <c r="AF32" i="2"/>
  <c r="AA34" i="10"/>
  <c r="AB33" i="10"/>
  <c r="AD33" i="10"/>
  <c r="AE33" i="10" s="1"/>
  <c r="AF33" i="10" s="1"/>
  <c r="O34" i="10"/>
  <c r="P33" i="10"/>
  <c r="R33" i="10"/>
  <c r="S33" i="10" s="1"/>
  <c r="T33" i="10" s="1"/>
  <c r="AA34" i="2"/>
  <c r="AB33" i="2"/>
  <c r="AD33" i="2"/>
  <c r="AE33" i="2" s="1"/>
  <c r="N32" i="2"/>
  <c r="AG32" i="2" s="1"/>
  <c r="AI32" i="2" s="1"/>
  <c r="T32" i="2"/>
  <c r="C34" i="10"/>
  <c r="D33" i="10"/>
  <c r="F33" i="10"/>
  <c r="G33" i="10" s="1"/>
  <c r="H33" i="10" s="1"/>
  <c r="H33" i="2"/>
  <c r="F34" i="2"/>
  <c r="G34" i="2" s="1"/>
  <c r="D34" i="2"/>
  <c r="C30" i="3"/>
  <c r="E30" i="3" s="1"/>
  <c r="O35" i="10" l="1"/>
  <c r="P34" i="10"/>
  <c r="R34" i="10"/>
  <c r="S34" i="10" s="1"/>
  <c r="T34" i="10" s="1"/>
  <c r="U35" i="10"/>
  <c r="V34" i="10"/>
  <c r="X34" i="10"/>
  <c r="Y34" i="10" s="1"/>
  <c r="AF33" i="2"/>
  <c r="U35" i="2"/>
  <c r="V34" i="2"/>
  <c r="X34" i="2"/>
  <c r="Y34" i="2" s="1"/>
  <c r="O35" i="2"/>
  <c r="R34" i="2"/>
  <c r="S34" i="2" s="1"/>
  <c r="P34" i="2"/>
  <c r="AA35" i="10"/>
  <c r="AB34" i="10"/>
  <c r="AD34" i="10"/>
  <c r="AE34" i="10" s="1"/>
  <c r="AF34" i="10" s="1"/>
  <c r="AG33" i="10"/>
  <c r="AK33" i="10" s="1"/>
  <c r="C35" i="10"/>
  <c r="D34" i="10"/>
  <c r="F34" i="10"/>
  <c r="G34" i="10" s="1"/>
  <c r="H34" i="10" s="1"/>
  <c r="AG33" i="2"/>
  <c r="AI33" i="2" s="1"/>
  <c r="AA35" i="2"/>
  <c r="AD34" i="2"/>
  <c r="AE34" i="2" s="1"/>
  <c r="AB34" i="2"/>
  <c r="I35" i="10"/>
  <c r="J34" i="10"/>
  <c r="L34" i="10"/>
  <c r="M34" i="10" s="1"/>
  <c r="N34" i="10" s="1"/>
  <c r="I35" i="2"/>
  <c r="L34" i="2"/>
  <c r="M34" i="2" s="1"/>
  <c r="J34" i="2"/>
  <c r="N34" i="2" s="1"/>
  <c r="H34" i="2"/>
  <c r="F35" i="2"/>
  <c r="G35" i="2" s="1"/>
  <c r="D35" i="2"/>
  <c r="C31" i="3"/>
  <c r="E31" i="3" s="1"/>
  <c r="AF34" i="2" l="1"/>
  <c r="C36" i="10"/>
  <c r="D35" i="10"/>
  <c r="F35" i="10"/>
  <c r="G35" i="10" s="1"/>
  <c r="H35" i="10" s="1"/>
  <c r="Z34" i="10"/>
  <c r="AG34" i="10" s="1"/>
  <c r="AK34" i="10" s="1"/>
  <c r="U36" i="10"/>
  <c r="V35" i="10"/>
  <c r="X35" i="10"/>
  <c r="Y35" i="10" s="1"/>
  <c r="Z35" i="10" s="1"/>
  <c r="Z34" i="2"/>
  <c r="O36" i="2"/>
  <c r="R35" i="2"/>
  <c r="S35" i="2" s="1"/>
  <c r="P35" i="2"/>
  <c r="AA36" i="2"/>
  <c r="AD35" i="2"/>
  <c r="AE35" i="2" s="1"/>
  <c r="AB35" i="2"/>
  <c r="AA36" i="10"/>
  <c r="AB35" i="10"/>
  <c r="AD35" i="10"/>
  <c r="AE35" i="10" s="1"/>
  <c r="U36" i="2"/>
  <c r="X35" i="2"/>
  <c r="Y35" i="2" s="1"/>
  <c r="V35" i="2"/>
  <c r="Z35" i="2" s="1"/>
  <c r="I36" i="2"/>
  <c r="J35" i="2"/>
  <c r="N35" i="2" s="1"/>
  <c r="L35" i="2"/>
  <c r="M35" i="2" s="1"/>
  <c r="I36" i="10"/>
  <c r="J35" i="10"/>
  <c r="L35" i="10"/>
  <c r="M35" i="10" s="1"/>
  <c r="N35" i="10" s="1"/>
  <c r="T34" i="2"/>
  <c r="AG34" i="2" s="1"/>
  <c r="AI34" i="2" s="1"/>
  <c r="O36" i="10"/>
  <c r="P35" i="10"/>
  <c r="R35" i="10"/>
  <c r="S35" i="10" s="1"/>
  <c r="H35" i="2"/>
  <c r="F36" i="2"/>
  <c r="G36" i="2" s="1"/>
  <c r="D36" i="2"/>
  <c r="C32" i="3"/>
  <c r="E32" i="3" s="1"/>
  <c r="T35" i="2" l="1"/>
  <c r="U37" i="10"/>
  <c r="V36" i="10"/>
  <c r="X36" i="10"/>
  <c r="Y36" i="10" s="1"/>
  <c r="Z36" i="10" s="1"/>
  <c r="O37" i="2"/>
  <c r="R36" i="2"/>
  <c r="S36" i="2" s="1"/>
  <c r="P36" i="2"/>
  <c r="T35" i="10"/>
  <c r="I37" i="10"/>
  <c r="J36" i="10"/>
  <c r="L36" i="10"/>
  <c r="M36" i="10" s="1"/>
  <c r="N36" i="10" s="1"/>
  <c r="AF35" i="2"/>
  <c r="I37" i="2"/>
  <c r="J36" i="2"/>
  <c r="L36" i="2"/>
  <c r="M36" i="2" s="1"/>
  <c r="U37" i="2"/>
  <c r="V36" i="2"/>
  <c r="Z36" i="2" s="1"/>
  <c r="X36" i="2"/>
  <c r="Y36" i="2" s="1"/>
  <c r="C37" i="10"/>
  <c r="D36" i="10"/>
  <c r="F36" i="10"/>
  <c r="G36" i="10" s="1"/>
  <c r="H36" i="10" s="1"/>
  <c r="AA37" i="10"/>
  <c r="AB36" i="10"/>
  <c r="AD36" i="10"/>
  <c r="AE36" i="10" s="1"/>
  <c r="AG35" i="2"/>
  <c r="AI35" i="2" s="1"/>
  <c r="O37" i="10"/>
  <c r="P36" i="10"/>
  <c r="R36" i="10"/>
  <c r="S36" i="10" s="1"/>
  <c r="T36" i="10" s="1"/>
  <c r="AF35" i="10"/>
  <c r="AG35" i="10" s="1"/>
  <c r="AK35" i="10" s="1"/>
  <c r="AA37" i="2"/>
  <c r="AB36" i="2"/>
  <c r="AD36" i="2"/>
  <c r="AE36" i="2" s="1"/>
  <c r="H36" i="2"/>
  <c r="F37" i="2"/>
  <c r="G37" i="2" s="1"/>
  <c r="D37" i="2"/>
  <c r="C33" i="3"/>
  <c r="E33" i="3" s="1"/>
  <c r="AF36" i="10" l="1"/>
  <c r="U38" i="2"/>
  <c r="X37" i="2"/>
  <c r="Y37" i="2" s="1"/>
  <c r="V37" i="2"/>
  <c r="Z37" i="2" s="1"/>
  <c r="O38" i="2"/>
  <c r="P37" i="2"/>
  <c r="T37" i="2" s="1"/>
  <c r="R37" i="2"/>
  <c r="S37" i="2" s="1"/>
  <c r="O38" i="10"/>
  <c r="P37" i="10"/>
  <c r="R37" i="10"/>
  <c r="S37" i="10" s="1"/>
  <c r="T37" i="10" s="1"/>
  <c r="AG36" i="10"/>
  <c r="AK36" i="10" s="1"/>
  <c r="I38" i="10"/>
  <c r="J37" i="10"/>
  <c r="L37" i="10"/>
  <c r="M37" i="10" s="1"/>
  <c r="N37" i="10" s="1"/>
  <c r="AA38" i="10"/>
  <c r="AB37" i="10"/>
  <c r="AD37" i="10"/>
  <c r="AE37" i="10" s="1"/>
  <c r="AF36" i="2"/>
  <c r="N36" i="2"/>
  <c r="AG36" i="2" s="1"/>
  <c r="AI36" i="2" s="1"/>
  <c r="U38" i="10"/>
  <c r="V37" i="10"/>
  <c r="X37" i="10"/>
  <c r="Y37" i="10" s="1"/>
  <c r="Z37" i="10" s="1"/>
  <c r="AA38" i="2"/>
  <c r="AB37" i="2"/>
  <c r="AF37" i="2" s="1"/>
  <c r="AD37" i="2"/>
  <c r="AE37" i="2" s="1"/>
  <c r="C38" i="10"/>
  <c r="D37" i="10"/>
  <c r="F37" i="10"/>
  <c r="G37" i="10" s="1"/>
  <c r="H37" i="10" s="1"/>
  <c r="I38" i="2"/>
  <c r="J37" i="2"/>
  <c r="N37" i="2" s="1"/>
  <c r="L37" i="2"/>
  <c r="M37" i="2" s="1"/>
  <c r="T36" i="2"/>
  <c r="H37" i="2"/>
  <c r="AG37" i="2" s="1"/>
  <c r="AI37" i="2" s="1"/>
  <c r="F38" i="2"/>
  <c r="G38" i="2" s="1"/>
  <c r="D38" i="2"/>
  <c r="C34" i="3"/>
  <c r="E34" i="3" s="1"/>
  <c r="I39" i="2" l="1"/>
  <c r="J38" i="2"/>
  <c r="L38" i="2"/>
  <c r="M38" i="2" s="1"/>
  <c r="AA39" i="2"/>
  <c r="AD38" i="2"/>
  <c r="AE38" i="2" s="1"/>
  <c r="AB38" i="2"/>
  <c r="AF37" i="10"/>
  <c r="AA39" i="10"/>
  <c r="AB38" i="10"/>
  <c r="AD38" i="10"/>
  <c r="AE38" i="10" s="1"/>
  <c r="AF38" i="10" s="1"/>
  <c r="C39" i="10"/>
  <c r="D38" i="10"/>
  <c r="F38" i="10"/>
  <c r="G38" i="10" s="1"/>
  <c r="H38" i="10" s="1"/>
  <c r="O39" i="10"/>
  <c r="P38" i="10"/>
  <c r="R38" i="10"/>
  <c r="S38" i="10" s="1"/>
  <c r="T38" i="10" s="1"/>
  <c r="AG37" i="10"/>
  <c r="AK37" i="10" s="1"/>
  <c r="O39" i="2"/>
  <c r="R38" i="2"/>
  <c r="S38" i="2" s="1"/>
  <c r="P38" i="2"/>
  <c r="U39" i="10"/>
  <c r="V38" i="10"/>
  <c r="X38" i="10"/>
  <c r="Y38" i="10" s="1"/>
  <c r="Z38" i="10" s="1"/>
  <c r="U39" i="2"/>
  <c r="V38" i="2"/>
  <c r="Z38" i="2" s="1"/>
  <c r="X38" i="2"/>
  <c r="Y38" i="2" s="1"/>
  <c r="I39" i="10"/>
  <c r="J38" i="10"/>
  <c r="L38" i="10"/>
  <c r="M38" i="10" s="1"/>
  <c r="N38" i="10" s="1"/>
  <c r="H38" i="2"/>
  <c r="F39" i="2"/>
  <c r="G39" i="2" s="1"/>
  <c r="D39" i="2"/>
  <c r="C35" i="3"/>
  <c r="E35" i="3" s="1"/>
  <c r="U40" i="2" l="1"/>
  <c r="V39" i="2"/>
  <c r="X39" i="2"/>
  <c r="Y39" i="2" s="1"/>
  <c r="O40" i="2"/>
  <c r="R39" i="2"/>
  <c r="S39" i="2" s="1"/>
  <c r="P39" i="2"/>
  <c r="AF38" i="2"/>
  <c r="U40" i="10"/>
  <c r="V39" i="10"/>
  <c r="X39" i="10"/>
  <c r="Y39" i="10" s="1"/>
  <c r="Z39" i="10" s="1"/>
  <c r="AA40" i="2"/>
  <c r="AD39" i="2"/>
  <c r="AE39" i="2" s="1"/>
  <c r="AB39" i="2"/>
  <c r="AF39" i="2" s="1"/>
  <c r="I40" i="10"/>
  <c r="J39" i="10"/>
  <c r="L39" i="10"/>
  <c r="M39" i="10" s="1"/>
  <c r="N39" i="10" s="1"/>
  <c r="T38" i="2"/>
  <c r="O40" i="10"/>
  <c r="P39" i="10"/>
  <c r="R39" i="10"/>
  <c r="S39" i="10" s="1"/>
  <c r="AA40" i="10"/>
  <c r="AB39" i="10"/>
  <c r="AD39" i="10"/>
  <c r="AE39" i="10" s="1"/>
  <c r="AF39" i="10" s="1"/>
  <c r="N38" i="2"/>
  <c r="AG38" i="2" s="1"/>
  <c r="AI38" i="2" s="1"/>
  <c r="C40" i="10"/>
  <c r="D39" i="10"/>
  <c r="F39" i="10"/>
  <c r="G39" i="10" s="1"/>
  <c r="H39" i="10" s="1"/>
  <c r="AG38" i="10"/>
  <c r="AK38" i="10" s="1"/>
  <c r="I40" i="2"/>
  <c r="J39" i="2"/>
  <c r="N39" i="2" s="1"/>
  <c r="L39" i="2"/>
  <c r="M39" i="2" s="1"/>
  <c r="H39" i="2"/>
  <c r="D40" i="2"/>
  <c r="F40" i="2"/>
  <c r="G40" i="2" s="1"/>
  <c r="C36" i="3"/>
  <c r="E36" i="3" s="1"/>
  <c r="O41" i="10" l="1"/>
  <c r="P40" i="10"/>
  <c r="R40" i="10"/>
  <c r="S40" i="10" s="1"/>
  <c r="T40" i="10" s="1"/>
  <c r="T39" i="2"/>
  <c r="AG39" i="2" s="1"/>
  <c r="AI39" i="2" s="1"/>
  <c r="AA41" i="2"/>
  <c r="AD40" i="2"/>
  <c r="AE40" i="2" s="1"/>
  <c r="AB40" i="2"/>
  <c r="AA41" i="10"/>
  <c r="AB40" i="10"/>
  <c r="AD40" i="10"/>
  <c r="AE40" i="10" s="1"/>
  <c r="AF40" i="10" s="1"/>
  <c r="I41" i="2"/>
  <c r="J40" i="2"/>
  <c r="L40" i="2"/>
  <c r="M40" i="2" s="1"/>
  <c r="O41" i="2"/>
  <c r="R40" i="2"/>
  <c r="S40" i="2" s="1"/>
  <c r="P40" i="2"/>
  <c r="T40" i="2" s="1"/>
  <c r="T39" i="10"/>
  <c r="AG39" i="10" s="1"/>
  <c r="AK39" i="10" s="1"/>
  <c r="I41" i="10"/>
  <c r="J40" i="10"/>
  <c r="L40" i="10"/>
  <c r="M40" i="10" s="1"/>
  <c r="N40" i="10" s="1"/>
  <c r="U41" i="10"/>
  <c r="V40" i="10"/>
  <c r="X40" i="10"/>
  <c r="Y40" i="10" s="1"/>
  <c r="Z39" i="2"/>
  <c r="C41" i="10"/>
  <c r="D40" i="10"/>
  <c r="F40" i="10"/>
  <c r="G40" i="10" s="1"/>
  <c r="H40" i="10" s="1"/>
  <c r="U41" i="2"/>
  <c r="V40" i="2"/>
  <c r="X40" i="2"/>
  <c r="Y40" i="2" s="1"/>
  <c r="H40" i="2"/>
  <c r="F41" i="2"/>
  <c r="G41" i="2" s="1"/>
  <c r="D41" i="2"/>
  <c r="C37" i="3"/>
  <c r="E37" i="3" s="1"/>
  <c r="U42" i="2" l="1"/>
  <c r="X41" i="2"/>
  <c r="Y41" i="2" s="1"/>
  <c r="V41" i="2"/>
  <c r="Z41" i="2" s="1"/>
  <c r="I42" i="2"/>
  <c r="J41" i="2"/>
  <c r="N41" i="2" s="1"/>
  <c r="L41" i="2"/>
  <c r="M41" i="2" s="1"/>
  <c r="AA42" i="10"/>
  <c r="AB41" i="10"/>
  <c r="AD41" i="10"/>
  <c r="AE41" i="10" s="1"/>
  <c r="AF41" i="10" s="1"/>
  <c r="U42" i="10"/>
  <c r="V41" i="10"/>
  <c r="X41" i="10"/>
  <c r="Y41" i="10" s="1"/>
  <c r="AA42" i="2"/>
  <c r="AB41" i="2"/>
  <c r="AD41" i="2"/>
  <c r="AE41" i="2" s="1"/>
  <c r="O42" i="2"/>
  <c r="P41" i="2"/>
  <c r="T41" i="2" s="1"/>
  <c r="R41" i="2"/>
  <c r="S41" i="2" s="1"/>
  <c r="I42" i="10"/>
  <c r="J41" i="10"/>
  <c r="L41" i="10"/>
  <c r="M41" i="10" s="1"/>
  <c r="N41" i="10" s="1"/>
  <c r="AG40" i="10"/>
  <c r="AK40" i="10" s="1"/>
  <c r="C42" i="10"/>
  <c r="D41" i="10"/>
  <c r="F41" i="10"/>
  <c r="G41" i="10" s="1"/>
  <c r="Z40" i="2"/>
  <c r="Z40" i="10"/>
  <c r="N40" i="2"/>
  <c r="AG40" i="2" s="1"/>
  <c r="AI40" i="2" s="1"/>
  <c r="AF40" i="2"/>
  <c r="O42" i="10"/>
  <c r="P41" i="10"/>
  <c r="R41" i="10"/>
  <c r="S41" i="10" s="1"/>
  <c r="T41" i="10" s="1"/>
  <c r="H41" i="2"/>
  <c r="F42" i="2"/>
  <c r="G42" i="2" s="1"/>
  <c r="D42" i="2"/>
  <c r="C38" i="3"/>
  <c r="E38" i="3" s="1"/>
  <c r="O43" i="10" l="1"/>
  <c r="P42" i="10"/>
  <c r="R42" i="10"/>
  <c r="S42" i="10" s="1"/>
  <c r="T42" i="10" s="1"/>
  <c r="Z41" i="10"/>
  <c r="U43" i="10"/>
  <c r="V42" i="10"/>
  <c r="X42" i="10"/>
  <c r="Y42" i="10" s="1"/>
  <c r="I43" i="2"/>
  <c r="J42" i="2"/>
  <c r="L42" i="2"/>
  <c r="M42" i="2" s="1"/>
  <c r="O43" i="2"/>
  <c r="R42" i="2"/>
  <c r="S42" i="2" s="1"/>
  <c r="P42" i="2"/>
  <c r="AF41" i="2"/>
  <c r="C43" i="10"/>
  <c r="D42" i="10"/>
  <c r="F42" i="10"/>
  <c r="G42" i="10" s="1"/>
  <c r="H42" i="10" s="1"/>
  <c r="H41" i="10"/>
  <c r="AG41" i="10" s="1"/>
  <c r="AK41" i="10" s="1"/>
  <c r="I43" i="10"/>
  <c r="J42" i="10"/>
  <c r="L42" i="10"/>
  <c r="M42" i="10" s="1"/>
  <c r="N42" i="10" s="1"/>
  <c r="AA43" i="2"/>
  <c r="AB42" i="2"/>
  <c r="AF42" i="2" s="1"/>
  <c r="AD42" i="2"/>
  <c r="AE42" i="2" s="1"/>
  <c r="AA43" i="10"/>
  <c r="AB42" i="10"/>
  <c r="AD42" i="10"/>
  <c r="AE42" i="10" s="1"/>
  <c r="AF42" i="10" s="1"/>
  <c r="U43" i="2"/>
  <c r="V42" i="2"/>
  <c r="Z42" i="2" s="1"/>
  <c r="X42" i="2"/>
  <c r="Y42" i="2" s="1"/>
  <c r="AG41" i="2"/>
  <c r="AI41" i="2" s="1"/>
  <c r="H42" i="2"/>
  <c r="F43" i="2"/>
  <c r="G43" i="2" s="1"/>
  <c r="D43" i="2"/>
  <c r="C39" i="3"/>
  <c r="E39" i="3" s="1"/>
  <c r="U44" i="2" l="1"/>
  <c r="X43" i="2"/>
  <c r="Y43" i="2" s="1"/>
  <c r="V43" i="2"/>
  <c r="AA44" i="2"/>
  <c r="AD43" i="2"/>
  <c r="AE43" i="2" s="1"/>
  <c r="AB43" i="2"/>
  <c r="U44" i="10"/>
  <c r="V43" i="10"/>
  <c r="X43" i="10"/>
  <c r="Y43" i="10" s="1"/>
  <c r="Z43" i="10" s="1"/>
  <c r="C44" i="10"/>
  <c r="D43" i="10"/>
  <c r="F43" i="10"/>
  <c r="G43" i="10" s="1"/>
  <c r="N42" i="2"/>
  <c r="O44" i="2"/>
  <c r="R43" i="2"/>
  <c r="S43" i="2" s="1"/>
  <c r="P43" i="2"/>
  <c r="T43" i="2" s="1"/>
  <c r="AG42" i="2"/>
  <c r="AI42" i="2" s="1"/>
  <c r="I44" i="2"/>
  <c r="L43" i="2"/>
  <c r="M43" i="2" s="1"/>
  <c r="J43" i="2"/>
  <c r="N43" i="2" s="1"/>
  <c r="AA44" i="10"/>
  <c r="AB43" i="10"/>
  <c r="AD43" i="10"/>
  <c r="AE43" i="10" s="1"/>
  <c r="AF43" i="10" s="1"/>
  <c r="I44" i="10"/>
  <c r="J43" i="10"/>
  <c r="L43" i="10"/>
  <c r="M43" i="10" s="1"/>
  <c r="N43" i="10" s="1"/>
  <c r="T42" i="2"/>
  <c r="Z42" i="10"/>
  <c r="AG42" i="10" s="1"/>
  <c r="AK42" i="10" s="1"/>
  <c r="O44" i="10"/>
  <c r="P43" i="10"/>
  <c r="R43" i="10"/>
  <c r="S43" i="10" s="1"/>
  <c r="T43" i="10" s="1"/>
  <c r="H43" i="2"/>
  <c r="F44" i="2"/>
  <c r="G44" i="2" s="1"/>
  <c r="D44" i="2"/>
  <c r="C40" i="3"/>
  <c r="E40" i="3" s="1"/>
  <c r="O45" i="10" l="1"/>
  <c r="P44" i="10"/>
  <c r="R44" i="10"/>
  <c r="S44" i="10" s="1"/>
  <c r="T44" i="10" s="1"/>
  <c r="I45" i="2"/>
  <c r="J44" i="2"/>
  <c r="L44" i="2"/>
  <c r="M44" i="2" s="1"/>
  <c r="H43" i="10"/>
  <c r="AG43" i="10" s="1"/>
  <c r="AK43" i="10" s="1"/>
  <c r="AF43" i="2"/>
  <c r="C45" i="10"/>
  <c r="D44" i="10"/>
  <c r="F44" i="10"/>
  <c r="G44" i="10" s="1"/>
  <c r="H44" i="10" s="1"/>
  <c r="AA45" i="2"/>
  <c r="AB44" i="2"/>
  <c r="AD44" i="2"/>
  <c r="AE44" i="2" s="1"/>
  <c r="AA45" i="10"/>
  <c r="AB44" i="10"/>
  <c r="AD44" i="10"/>
  <c r="AE44" i="10" s="1"/>
  <c r="AF44" i="10" s="1"/>
  <c r="Z43" i="2"/>
  <c r="AG43" i="2" s="1"/>
  <c r="AI43" i="2" s="1"/>
  <c r="O45" i="2"/>
  <c r="R44" i="2"/>
  <c r="S44" i="2" s="1"/>
  <c r="P44" i="2"/>
  <c r="T44" i="2" s="1"/>
  <c r="I45" i="10"/>
  <c r="J44" i="10"/>
  <c r="L44" i="10"/>
  <c r="M44" i="10" s="1"/>
  <c r="U45" i="10"/>
  <c r="V44" i="10"/>
  <c r="X44" i="10"/>
  <c r="Y44" i="10" s="1"/>
  <c r="Z44" i="10" s="1"/>
  <c r="U45" i="2"/>
  <c r="X44" i="2"/>
  <c r="Y44" i="2" s="1"/>
  <c r="V44" i="2"/>
  <c r="H44" i="2"/>
  <c r="F45" i="2"/>
  <c r="G45" i="2" s="1"/>
  <c r="D45" i="2"/>
  <c r="C41" i="3"/>
  <c r="E41" i="3" s="1"/>
  <c r="AA46" i="2" l="1"/>
  <c r="AB45" i="2"/>
  <c r="AD45" i="2"/>
  <c r="AE45" i="2" s="1"/>
  <c r="N44" i="2"/>
  <c r="I46" i="10"/>
  <c r="J45" i="10"/>
  <c r="L45" i="10"/>
  <c r="M45" i="10" s="1"/>
  <c r="N45" i="10" s="1"/>
  <c r="I46" i="2"/>
  <c r="J45" i="2"/>
  <c r="L45" i="2"/>
  <c r="M45" i="2" s="1"/>
  <c r="U46" i="2"/>
  <c r="X45" i="2"/>
  <c r="Y45" i="2" s="1"/>
  <c r="V45" i="2"/>
  <c r="Z45" i="2" s="1"/>
  <c r="AA46" i="10"/>
  <c r="AB45" i="10"/>
  <c r="AD45" i="10"/>
  <c r="AE45" i="10" s="1"/>
  <c r="AF45" i="10" s="1"/>
  <c r="C46" i="10"/>
  <c r="D45" i="10"/>
  <c r="F45" i="10"/>
  <c r="G45" i="10" s="1"/>
  <c r="H45" i="10" s="1"/>
  <c r="U46" i="10"/>
  <c r="V45" i="10"/>
  <c r="X45" i="10"/>
  <c r="Y45" i="10" s="1"/>
  <c r="Z45" i="10" s="1"/>
  <c r="Z44" i="2"/>
  <c r="N44" i="10"/>
  <c r="AG44" i="10" s="1"/>
  <c r="AK44" i="10" s="1"/>
  <c r="O46" i="2"/>
  <c r="P45" i="2"/>
  <c r="R45" i="2"/>
  <c r="S45" i="2" s="1"/>
  <c r="AF44" i="2"/>
  <c r="AG44" i="2" s="1"/>
  <c r="O46" i="10"/>
  <c r="P45" i="10"/>
  <c r="R45" i="10"/>
  <c r="S45" i="10" s="1"/>
  <c r="T45" i="10" s="1"/>
  <c r="H45" i="2"/>
  <c r="F46" i="2"/>
  <c r="G46" i="2" s="1"/>
  <c r="D46" i="2"/>
  <c r="C42" i="3"/>
  <c r="E42" i="3" s="1"/>
  <c r="AI44" i="2" l="1"/>
  <c r="C43" i="3"/>
  <c r="E43" i="3" s="1"/>
  <c r="C47" i="10"/>
  <c r="D46" i="10"/>
  <c r="F46" i="10"/>
  <c r="G46" i="10" s="1"/>
  <c r="H46" i="10" s="1"/>
  <c r="U47" i="2"/>
  <c r="V46" i="2"/>
  <c r="X46" i="2"/>
  <c r="Y46" i="2" s="1"/>
  <c r="I47" i="10"/>
  <c r="J46" i="10"/>
  <c r="L46" i="10"/>
  <c r="M46" i="10" s="1"/>
  <c r="N46" i="10" s="1"/>
  <c r="AG45" i="2"/>
  <c r="AI45" i="2" s="1"/>
  <c r="T45" i="2"/>
  <c r="N45" i="2"/>
  <c r="AA47" i="10"/>
  <c r="AB46" i="10"/>
  <c r="AD46" i="10"/>
  <c r="AE46" i="10" s="1"/>
  <c r="AF46" i="10" s="1"/>
  <c r="I47" i="2"/>
  <c r="J46" i="2"/>
  <c r="L46" i="2"/>
  <c r="M46" i="2" s="1"/>
  <c r="O47" i="2"/>
  <c r="R46" i="2"/>
  <c r="S46" i="2" s="1"/>
  <c r="P46" i="2"/>
  <c r="T46" i="2" s="1"/>
  <c r="AG45" i="10"/>
  <c r="AK45" i="10" s="1"/>
  <c r="AF45" i="2"/>
  <c r="U47" i="10"/>
  <c r="V46" i="10"/>
  <c r="X46" i="10"/>
  <c r="Y46" i="10" s="1"/>
  <c r="Z46" i="10" s="1"/>
  <c r="O47" i="10"/>
  <c r="P46" i="10"/>
  <c r="R46" i="10"/>
  <c r="S46" i="10" s="1"/>
  <c r="AA47" i="2"/>
  <c r="AB46" i="2"/>
  <c r="AD46" i="2"/>
  <c r="AE46" i="2" s="1"/>
  <c r="H46" i="2"/>
  <c r="D47" i="2"/>
  <c r="F47" i="2"/>
  <c r="G47" i="2" s="1"/>
  <c r="I48" i="2" l="1"/>
  <c r="J47" i="2"/>
  <c r="L47" i="2"/>
  <c r="M47" i="2" s="1"/>
  <c r="U48" i="2"/>
  <c r="X47" i="2"/>
  <c r="Y47" i="2" s="1"/>
  <c r="V47" i="2"/>
  <c r="Z47" i="2" s="1"/>
  <c r="AA48" i="10"/>
  <c r="AB47" i="10"/>
  <c r="AD47" i="10"/>
  <c r="AE47" i="10" s="1"/>
  <c r="AF47" i="10" s="1"/>
  <c r="I48" i="10"/>
  <c r="J47" i="10"/>
  <c r="L47" i="10"/>
  <c r="M47" i="10" s="1"/>
  <c r="N47" i="10" s="1"/>
  <c r="C48" i="10"/>
  <c r="D47" i="10"/>
  <c r="F47" i="10"/>
  <c r="G47" i="10" s="1"/>
  <c r="H47" i="10" s="1"/>
  <c r="O48" i="2"/>
  <c r="R47" i="2"/>
  <c r="S47" i="2" s="1"/>
  <c r="P47" i="2"/>
  <c r="T47" i="2" s="1"/>
  <c r="U48" i="10"/>
  <c r="V47" i="10"/>
  <c r="X47" i="10"/>
  <c r="Y47" i="10" s="1"/>
  <c r="Z47" i="10" s="1"/>
  <c r="O48" i="10"/>
  <c r="P47" i="10"/>
  <c r="R47" i="10"/>
  <c r="S47" i="10" s="1"/>
  <c r="T47" i="10" s="1"/>
  <c r="AF46" i="2"/>
  <c r="AA48" i="2"/>
  <c r="AD47" i="2"/>
  <c r="AE47" i="2" s="1"/>
  <c r="AB47" i="2"/>
  <c r="AF47" i="2" s="1"/>
  <c r="T46" i="10"/>
  <c r="AG46" i="10" s="1"/>
  <c r="AK46" i="10" s="1"/>
  <c r="N46" i="2"/>
  <c r="Z46" i="2"/>
  <c r="AG46" i="2"/>
  <c r="AI46" i="2" s="1"/>
  <c r="H47" i="2"/>
  <c r="D48" i="2"/>
  <c r="F48" i="2"/>
  <c r="G48" i="2" s="1"/>
  <c r="C44" i="3"/>
  <c r="E44" i="3" s="1"/>
  <c r="O49" i="10" l="1"/>
  <c r="P48" i="10"/>
  <c r="R48" i="10"/>
  <c r="S48" i="10" s="1"/>
  <c r="O49" i="2"/>
  <c r="R48" i="2"/>
  <c r="S48" i="2" s="1"/>
  <c r="P48" i="2"/>
  <c r="I49" i="10"/>
  <c r="J48" i="10"/>
  <c r="L48" i="10"/>
  <c r="M48" i="10" s="1"/>
  <c r="U49" i="2"/>
  <c r="V48" i="2"/>
  <c r="Z48" i="2" s="1"/>
  <c r="X48" i="2"/>
  <c r="Y48" i="2" s="1"/>
  <c r="AG47" i="2"/>
  <c r="AI47" i="2" s="1"/>
  <c r="AG47" i="10"/>
  <c r="AK47" i="10" s="1"/>
  <c r="AA49" i="2"/>
  <c r="AB48" i="2"/>
  <c r="AD48" i="2"/>
  <c r="AE48" i="2" s="1"/>
  <c r="N47" i="2"/>
  <c r="U49" i="10"/>
  <c r="V48" i="10"/>
  <c r="X48" i="10"/>
  <c r="Y48" i="10" s="1"/>
  <c r="C49" i="10"/>
  <c r="D48" i="10"/>
  <c r="F48" i="10"/>
  <c r="G48" i="10" s="1"/>
  <c r="AA49" i="10"/>
  <c r="AB48" i="10"/>
  <c r="AD48" i="10"/>
  <c r="AE48" i="10" s="1"/>
  <c r="I49" i="2"/>
  <c r="J48" i="2"/>
  <c r="N48" i="2" s="1"/>
  <c r="L48" i="2"/>
  <c r="M48" i="2" s="1"/>
  <c r="H48" i="2"/>
  <c r="F49" i="2"/>
  <c r="G49" i="2" s="1"/>
  <c r="D49" i="2"/>
  <c r="C45" i="3"/>
  <c r="E45" i="3" s="1"/>
  <c r="AG48" i="2" l="1"/>
  <c r="AI48" i="2" s="1"/>
  <c r="H48" i="10"/>
  <c r="T48" i="2"/>
  <c r="I50" i="2"/>
  <c r="J49" i="2"/>
  <c r="N49" i="2" s="1"/>
  <c r="L49" i="2"/>
  <c r="M49" i="2" s="1"/>
  <c r="C50" i="10"/>
  <c r="D49" i="10"/>
  <c r="F49" i="10"/>
  <c r="G49" i="10" s="1"/>
  <c r="H49" i="10" s="1"/>
  <c r="AF48" i="2"/>
  <c r="U50" i="2"/>
  <c r="X49" i="2"/>
  <c r="Y49" i="2" s="1"/>
  <c r="V49" i="2"/>
  <c r="Z49" i="2" s="1"/>
  <c r="O50" i="2"/>
  <c r="P49" i="2"/>
  <c r="R49" i="2"/>
  <c r="S49" i="2" s="1"/>
  <c r="AF48" i="10"/>
  <c r="Z48" i="10"/>
  <c r="AA50" i="2"/>
  <c r="AB49" i="2"/>
  <c r="AF49" i="2" s="1"/>
  <c r="AD49" i="2"/>
  <c r="AE49" i="2" s="1"/>
  <c r="N48" i="10"/>
  <c r="T48" i="10"/>
  <c r="AA50" i="10"/>
  <c r="AB49" i="10"/>
  <c r="AD49" i="10"/>
  <c r="AE49" i="10" s="1"/>
  <c r="U50" i="10"/>
  <c r="V49" i="10"/>
  <c r="X49" i="10"/>
  <c r="Y49" i="10" s="1"/>
  <c r="Z49" i="10" s="1"/>
  <c r="I50" i="10"/>
  <c r="J49" i="10"/>
  <c r="L49" i="10"/>
  <c r="M49" i="10" s="1"/>
  <c r="O50" i="10"/>
  <c r="P49" i="10"/>
  <c r="R49" i="10"/>
  <c r="S49" i="10" s="1"/>
  <c r="T49" i="10" s="1"/>
  <c r="H49" i="2"/>
  <c r="F50" i="2"/>
  <c r="G50" i="2" s="1"/>
  <c r="D50" i="2"/>
  <c r="C46" i="3"/>
  <c r="E46" i="3" s="1"/>
  <c r="C51" i="10" l="1"/>
  <c r="D50" i="10"/>
  <c r="F50" i="10"/>
  <c r="G50" i="10" s="1"/>
  <c r="I51" i="10"/>
  <c r="J50" i="10"/>
  <c r="L50" i="10"/>
  <c r="M50" i="10" s="1"/>
  <c r="AA51" i="10"/>
  <c r="AB50" i="10"/>
  <c r="AD50" i="10"/>
  <c r="AE50" i="10" s="1"/>
  <c r="I51" i="2"/>
  <c r="J50" i="2"/>
  <c r="N50" i="2" s="1"/>
  <c r="L50" i="2"/>
  <c r="M50" i="2" s="1"/>
  <c r="U51" i="2"/>
  <c r="V50" i="2"/>
  <c r="Z50" i="2" s="1"/>
  <c r="X50" i="2"/>
  <c r="Y50" i="2" s="1"/>
  <c r="O51" i="10"/>
  <c r="P50" i="10"/>
  <c r="R50" i="10"/>
  <c r="S50" i="10" s="1"/>
  <c r="U51" i="10"/>
  <c r="V50" i="10"/>
  <c r="X50" i="10"/>
  <c r="Y50" i="10" s="1"/>
  <c r="T49" i="2"/>
  <c r="AG49" i="2" s="1"/>
  <c r="AI49" i="2" s="1"/>
  <c r="AG49" i="10"/>
  <c r="AK49" i="10" s="1"/>
  <c r="AA51" i="2"/>
  <c r="AB50" i="2"/>
  <c r="AD50" i="2"/>
  <c r="AE50" i="2" s="1"/>
  <c r="N49" i="10"/>
  <c r="AF49" i="10"/>
  <c r="O51" i="2"/>
  <c r="R50" i="2"/>
  <c r="S50" i="2" s="1"/>
  <c r="P50" i="2"/>
  <c r="AG48" i="10"/>
  <c r="AK48" i="10" s="1"/>
  <c r="H50" i="2"/>
  <c r="F51" i="2"/>
  <c r="G51" i="2" s="1"/>
  <c r="D51" i="2"/>
  <c r="C47" i="3"/>
  <c r="E47" i="3" s="1"/>
  <c r="AA52" i="2" l="1"/>
  <c r="AB51" i="2"/>
  <c r="AF51" i="2" s="1"/>
  <c r="AD51" i="2"/>
  <c r="AE51" i="2" s="1"/>
  <c r="T50" i="10"/>
  <c r="N50" i="10"/>
  <c r="O52" i="10"/>
  <c r="P51" i="10"/>
  <c r="R51" i="10"/>
  <c r="S51" i="10" s="1"/>
  <c r="I52" i="2"/>
  <c r="J51" i="2"/>
  <c r="N51" i="2" s="1"/>
  <c r="L51" i="2"/>
  <c r="M51" i="2" s="1"/>
  <c r="I52" i="10"/>
  <c r="J51" i="10"/>
  <c r="L51" i="10"/>
  <c r="M51" i="10" s="1"/>
  <c r="Z50" i="10"/>
  <c r="AF50" i="10"/>
  <c r="H50" i="10"/>
  <c r="O52" i="2"/>
  <c r="R51" i="2"/>
  <c r="S51" i="2" s="1"/>
  <c r="P51" i="2"/>
  <c r="T50" i="2"/>
  <c r="AG50" i="2" s="1"/>
  <c r="AI50" i="2" s="1"/>
  <c r="AF50" i="2"/>
  <c r="U52" i="10"/>
  <c r="V51" i="10"/>
  <c r="X51" i="10"/>
  <c r="Y51" i="10" s="1"/>
  <c r="U52" i="2"/>
  <c r="X51" i="2"/>
  <c r="Y51" i="2" s="1"/>
  <c r="V51" i="2"/>
  <c r="Z51" i="2" s="1"/>
  <c r="AA52" i="10"/>
  <c r="AB51" i="10"/>
  <c r="AD51" i="10"/>
  <c r="AE51" i="10" s="1"/>
  <c r="C52" i="10"/>
  <c r="D51" i="10"/>
  <c r="F51" i="10"/>
  <c r="G51" i="10" s="1"/>
  <c r="H51" i="10" s="1"/>
  <c r="H51" i="2"/>
  <c r="F52" i="2"/>
  <c r="G52" i="2" s="1"/>
  <c r="D52" i="2"/>
  <c r="C48" i="3"/>
  <c r="E48" i="3" s="1"/>
  <c r="O53" i="2" l="1"/>
  <c r="R52" i="2"/>
  <c r="S52" i="2" s="1"/>
  <c r="P52" i="2"/>
  <c r="I53" i="10"/>
  <c r="J52" i="10"/>
  <c r="L52" i="10"/>
  <c r="M52" i="10" s="1"/>
  <c r="O53" i="10"/>
  <c r="P52" i="10"/>
  <c r="R52" i="10"/>
  <c r="S52" i="10" s="1"/>
  <c r="AA53" i="2"/>
  <c r="AD52" i="2"/>
  <c r="AE52" i="2" s="1"/>
  <c r="AB52" i="2"/>
  <c r="AA53" i="10"/>
  <c r="AB52" i="10"/>
  <c r="AD52" i="10"/>
  <c r="AE52" i="10" s="1"/>
  <c r="U53" i="10"/>
  <c r="V52" i="10"/>
  <c r="X52" i="10"/>
  <c r="Y52" i="10" s="1"/>
  <c r="AG50" i="10"/>
  <c r="AK50" i="10" s="1"/>
  <c r="C53" i="10"/>
  <c r="D52" i="10"/>
  <c r="F52" i="10"/>
  <c r="G52" i="10" s="1"/>
  <c r="H52" i="10" s="1"/>
  <c r="U53" i="2"/>
  <c r="X52" i="2"/>
  <c r="Y52" i="2" s="1"/>
  <c r="V52" i="2"/>
  <c r="Z52" i="2" s="1"/>
  <c r="T51" i="2"/>
  <c r="AG51" i="2" s="1"/>
  <c r="AI51" i="2" s="1"/>
  <c r="N51" i="10"/>
  <c r="T51" i="10"/>
  <c r="AG51" i="10" s="1"/>
  <c r="AK51" i="10" s="1"/>
  <c r="I53" i="2"/>
  <c r="J52" i="2"/>
  <c r="L52" i="2"/>
  <c r="M52" i="2" s="1"/>
  <c r="AF51" i="10"/>
  <c r="Z51" i="10"/>
  <c r="H52" i="2"/>
  <c r="F53" i="2"/>
  <c r="G53" i="2" s="1"/>
  <c r="D53" i="2"/>
  <c r="C49" i="3"/>
  <c r="E49" i="3" s="1"/>
  <c r="N52" i="2" l="1"/>
  <c r="AA54" i="10"/>
  <c r="AB53" i="10"/>
  <c r="AD53" i="10"/>
  <c r="AE53" i="10" s="1"/>
  <c r="AF53" i="10" s="1"/>
  <c r="O54" i="10"/>
  <c r="P53" i="10"/>
  <c r="R53" i="10"/>
  <c r="S53" i="10" s="1"/>
  <c r="O54" i="2"/>
  <c r="P53" i="2"/>
  <c r="R53" i="2"/>
  <c r="S53" i="2" s="1"/>
  <c r="I54" i="2"/>
  <c r="L53" i="2"/>
  <c r="M53" i="2" s="1"/>
  <c r="J53" i="2"/>
  <c r="U54" i="2"/>
  <c r="X53" i="2"/>
  <c r="Y53" i="2" s="1"/>
  <c r="V53" i="2"/>
  <c r="Z53" i="2" s="1"/>
  <c r="Z52" i="10"/>
  <c r="AF52" i="2"/>
  <c r="N52" i="10"/>
  <c r="AG52" i="2"/>
  <c r="AI52" i="2" s="1"/>
  <c r="U54" i="10"/>
  <c r="V53" i="10"/>
  <c r="X53" i="10"/>
  <c r="Y53" i="10" s="1"/>
  <c r="AA54" i="2"/>
  <c r="AB53" i="2"/>
  <c r="AF53" i="2" s="1"/>
  <c r="AD53" i="2"/>
  <c r="AE53" i="2" s="1"/>
  <c r="I54" i="10"/>
  <c r="J53" i="10"/>
  <c r="L53" i="10"/>
  <c r="M53" i="10" s="1"/>
  <c r="C54" i="10"/>
  <c r="D53" i="10"/>
  <c r="F53" i="10"/>
  <c r="G53" i="10" s="1"/>
  <c r="AF52" i="10"/>
  <c r="T52" i="10"/>
  <c r="AG52" i="10" s="1"/>
  <c r="AK52" i="10" s="1"/>
  <c r="T52" i="2"/>
  <c r="H53" i="2"/>
  <c r="F54" i="2"/>
  <c r="G54" i="2" s="1"/>
  <c r="D54" i="2"/>
  <c r="C50" i="3"/>
  <c r="E50" i="3" s="1"/>
  <c r="U55" i="2" l="1"/>
  <c r="V54" i="2"/>
  <c r="Z54" i="2" s="1"/>
  <c r="X54" i="2"/>
  <c r="Y54" i="2" s="1"/>
  <c r="N53" i="10"/>
  <c r="Z53" i="10"/>
  <c r="I55" i="2"/>
  <c r="L54" i="2"/>
  <c r="M54" i="2" s="1"/>
  <c r="J54" i="2"/>
  <c r="I55" i="10"/>
  <c r="J54" i="10"/>
  <c r="L54" i="10"/>
  <c r="M54" i="10" s="1"/>
  <c r="N54" i="10" s="1"/>
  <c r="U55" i="10"/>
  <c r="V54" i="10"/>
  <c r="X54" i="10"/>
  <c r="Y54" i="10" s="1"/>
  <c r="O55" i="10"/>
  <c r="P54" i="10"/>
  <c r="R54" i="10"/>
  <c r="S54" i="10" s="1"/>
  <c r="T54" i="10" s="1"/>
  <c r="H53" i="10"/>
  <c r="AG53" i="10" s="1"/>
  <c r="AK53" i="10" s="1"/>
  <c r="T53" i="2"/>
  <c r="O55" i="2"/>
  <c r="R54" i="2"/>
  <c r="S54" i="2" s="1"/>
  <c r="P54" i="2"/>
  <c r="T54" i="2" s="1"/>
  <c r="AA55" i="10"/>
  <c r="AB54" i="10"/>
  <c r="AD54" i="10"/>
  <c r="AE54" i="10" s="1"/>
  <c r="AF54" i="10" s="1"/>
  <c r="C55" i="10"/>
  <c r="D54" i="10"/>
  <c r="F54" i="10"/>
  <c r="G54" i="10" s="1"/>
  <c r="H54" i="10" s="1"/>
  <c r="AA55" i="2"/>
  <c r="AD54" i="2"/>
  <c r="AE54" i="2" s="1"/>
  <c r="AB54" i="2"/>
  <c r="AF54" i="2" s="1"/>
  <c r="N53" i="2"/>
  <c r="AG53" i="2" s="1"/>
  <c r="AI53" i="2" s="1"/>
  <c r="T53" i="10"/>
  <c r="H54" i="2"/>
  <c r="F55" i="2"/>
  <c r="G55" i="2" s="1"/>
  <c r="D55" i="2"/>
  <c r="C51" i="3"/>
  <c r="E51" i="3" s="1"/>
  <c r="U56" i="10" l="1"/>
  <c r="V55" i="10"/>
  <c r="X55" i="10"/>
  <c r="Y55" i="10" s="1"/>
  <c r="Z55" i="10" s="1"/>
  <c r="I56" i="2"/>
  <c r="L55" i="2"/>
  <c r="M55" i="2" s="1"/>
  <c r="J55" i="2"/>
  <c r="U56" i="2"/>
  <c r="V55" i="2"/>
  <c r="X55" i="2"/>
  <c r="Y55" i="2" s="1"/>
  <c r="AA56" i="10"/>
  <c r="AB55" i="10"/>
  <c r="AD55" i="10"/>
  <c r="AE55" i="10" s="1"/>
  <c r="AG54" i="10"/>
  <c r="AK54" i="10" s="1"/>
  <c r="AA56" i="2"/>
  <c r="AB55" i="2"/>
  <c r="AD55" i="2"/>
  <c r="AE55" i="2" s="1"/>
  <c r="O56" i="10"/>
  <c r="P55" i="10"/>
  <c r="R55" i="10"/>
  <c r="S55" i="10" s="1"/>
  <c r="T55" i="10" s="1"/>
  <c r="I56" i="10"/>
  <c r="J55" i="10"/>
  <c r="L55" i="10"/>
  <c r="M55" i="10" s="1"/>
  <c r="N55" i="10" s="1"/>
  <c r="C56" i="10"/>
  <c r="D55" i="10"/>
  <c r="F55" i="10"/>
  <c r="G55" i="10" s="1"/>
  <c r="H55" i="10" s="1"/>
  <c r="O56" i="2"/>
  <c r="R55" i="2"/>
  <c r="S55" i="2" s="1"/>
  <c r="P55" i="2"/>
  <c r="T55" i="2" s="1"/>
  <c r="Z54" i="10"/>
  <c r="N54" i="2"/>
  <c r="AG54" i="2"/>
  <c r="AI54" i="2" s="1"/>
  <c r="H55" i="2"/>
  <c r="D56" i="2"/>
  <c r="F56" i="2"/>
  <c r="G56" i="2" s="1"/>
  <c r="C52" i="3"/>
  <c r="E52" i="3" s="1"/>
  <c r="AG55" i="10" l="1"/>
  <c r="AK55" i="10" s="1"/>
  <c r="U57" i="10"/>
  <c r="V56" i="10"/>
  <c r="X56" i="10"/>
  <c r="Y56" i="10" s="1"/>
  <c r="Z56" i="10" s="1"/>
  <c r="AF55" i="10"/>
  <c r="N55" i="2"/>
  <c r="AA57" i="10"/>
  <c r="AB56" i="10"/>
  <c r="AD56" i="10"/>
  <c r="AE56" i="10" s="1"/>
  <c r="I57" i="2"/>
  <c r="J56" i="2"/>
  <c r="N56" i="2" s="1"/>
  <c r="L56" i="2"/>
  <c r="M56" i="2" s="1"/>
  <c r="O57" i="10"/>
  <c r="P56" i="10"/>
  <c r="R56" i="10"/>
  <c r="S56" i="10" s="1"/>
  <c r="AF55" i="2"/>
  <c r="U57" i="2"/>
  <c r="X56" i="2"/>
  <c r="Y56" i="2" s="1"/>
  <c r="V56" i="2"/>
  <c r="Z56" i="2" s="1"/>
  <c r="C57" i="10"/>
  <c r="D56" i="10"/>
  <c r="F56" i="10"/>
  <c r="G56" i="10" s="1"/>
  <c r="H56" i="10" s="1"/>
  <c r="AG55" i="2"/>
  <c r="AI55" i="2" s="1"/>
  <c r="O57" i="2"/>
  <c r="R56" i="2"/>
  <c r="S56" i="2" s="1"/>
  <c r="P56" i="2"/>
  <c r="T56" i="2" s="1"/>
  <c r="I57" i="10"/>
  <c r="J56" i="10"/>
  <c r="L56" i="10"/>
  <c r="M56" i="10" s="1"/>
  <c r="N56" i="10" s="1"/>
  <c r="AA57" i="2"/>
  <c r="AD56" i="2"/>
  <c r="AE56" i="2" s="1"/>
  <c r="AB56" i="2"/>
  <c r="AF56" i="2" s="1"/>
  <c r="Z55" i="2"/>
  <c r="H56" i="2"/>
  <c r="F57" i="2"/>
  <c r="G57" i="2" s="1"/>
  <c r="D57" i="2"/>
  <c r="C53" i="3"/>
  <c r="E53" i="3" s="1"/>
  <c r="U58" i="10" l="1"/>
  <c r="V57" i="10"/>
  <c r="X57" i="10"/>
  <c r="Y57" i="10" s="1"/>
  <c r="AA58" i="10"/>
  <c r="AB57" i="10"/>
  <c r="AD57" i="10"/>
  <c r="AE57" i="10" s="1"/>
  <c r="AA58" i="2"/>
  <c r="AB57" i="2"/>
  <c r="AF57" i="2" s="1"/>
  <c r="AD57" i="2"/>
  <c r="AE57" i="2" s="1"/>
  <c r="O58" i="2"/>
  <c r="P57" i="2"/>
  <c r="T57" i="2" s="1"/>
  <c r="R57" i="2"/>
  <c r="S57" i="2" s="1"/>
  <c r="C58" i="10"/>
  <c r="D57" i="10"/>
  <c r="F57" i="10"/>
  <c r="G57" i="10" s="1"/>
  <c r="O58" i="10"/>
  <c r="P57" i="10"/>
  <c r="R57" i="10"/>
  <c r="S57" i="10" s="1"/>
  <c r="AG56" i="10"/>
  <c r="AK56" i="10" s="1"/>
  <c r="I58" i="2"/>
  <c r="L57" i="2"/>
  <c r="M57" i="2" s="1"/>
  <c r="J57" i="2"/>
  <c r="N57" i="2" s="1"/>
  <c r="U58" i="2"/>
  <c r="V57" i="2"/>
  <c r="X57" i="2"/>
  <c r="Y57" i="2" s="1"/>
  <c r="I58" i="10"/>
  <c r="J57" i="10"/>
  <c r="L57" i="10"/>
  <c r="M57" i="10" s="1"/>
  <c r="N57" i="10" s="1"/>
  <c r="T56" i="10"/>
  <c r="AF56" i="10"/>
  <c r="AG56" i="2"/>
  <c r="AI56" i="2" s="1"/>
  <c r="H57" i="2"/>
  <c r="F58" i="2"/>
  <c r="G58" i="2" s="1"/>
  <c r="D58" i="2"/>
  <c r="C54" i="3"/>
  <c r="E54" i="3" s="1"/>
  <c r="I59" i="10" l="1"/>
  <c r="J58" i="10"/>
  <c r="L58" i="10"/>
  <c r="M58" i="10" s="1"/>
  <c r="C59" i="10"/>
  <c r="D58" i="10"/>
  <c r="F58" i="10"/>
  <c r="G58" i="10" s="1"/>
  <c r="H58" i="10" s="1"/>
  <c r="AA59" i="2"/>
  <c r="AD58" i="2"/>
  <c r="AE58" i="2" s="1"/>
  <c r="AB58" i="2"/>
  <c r="U59" i="10"/>
  <c r="V58" i="10"/>
  <c r="X58" i="10"/>
  <c r="Y58" i="10" s="1"/>
  <c r="Z58" i="10" s="1"/>
  <c r="Z57" i="2"/>
  <c r="T57" i="10"/>
  <c r="AF57" i="10"/>
  <c r="I59" i="2"/>
  <c r="J58" i="2"/>
  <c r="L58" i="2"/>
  <c r="M58" i="2" s="1"/>
  <c r="O59" i="2"/>
  <c r="R58" i="2"/>
  <c r="S58" i="2" s="1"/>
  <c r="P58" i="2"/>
  <c r="AA59" i="10"/>
  <c r="AB58" i="10"/>
  <c r="AD58" i="10"/>
  <c r="AE58" i="10" s="1"/>
  <c r="AF58" i="10" s="1"/>
  <c r="AG57" i="2"/>
  <c r="AI57" i="2" s="1"/>
  <c r="U59" i="2"/>
  <c r="V58" i="2"/>
  <c r="X58" i="2"/>
  <c r="Y58" i="2" s="1"/>
  <c r="O59" i="10"/>
  <c r="P58" i="10"/>
  <c r="R58" i="10"/>
  <c r="S58" i="10" s="1"/>
  <c r="T58" i="10" s="1"/>
  <c r="H57" i="10"/>
  <c r="AG57" i="10" s="1"/>
  <c r="AK57" i="10" s="1"/>
  <c r="Z57" i="10"/>
  <c r="H58" i="2"/>
  <c r="F59" i="2"/>
  <c r="G59" i="2" s="1"/>
  <c r="D59" i="2"/>
  <c r="C55" i="3"/>
  <c r="E55" i="3" s="1"/>
  <c r="O60" i="2" l="1"/>
  <c r="R59" i="2"/>
  <c r="S59" i="2" s="1"/>
  <c r="P59" i="2"/>
  <c r="T59" i="2" s="1"/>
  <c r="N58" i="2"/>
  <c r="AG58" i="2" s="1"/>
  <c r="AI58" i="2" s="1"/>
  <c r="U60" i="2"/>
  <c r="X59" i="2"/>
  <c r="Y59" i="2" s="1"/>
  <c r="V59" i="2"/>
  <c r="AA60" i="2"/>
  <c r="AB59" i="2"/>
  <c r="AD59" i="2"/>
  <c r="AE59" i="2" s="1"/>
  <c r="AA60" i="10"/>
  <c r="AB59" i="10"/>
  <c r="AD59" i="10"/>
  <c r="AE59" i="10" s="1"/>
  <c r="AF59" i="10" s="1"/>
  <c r="I60" i="2"/>
  <c r="J59" i="2"/>
  <c r="N59" i="2" s="1"/>
  <c r="L59" i="2"/>
  <c r="M59" i="2" s="1"/>
  <c r="U60" i="10"/>
  <c r="V59" i="10"/>
  <c r="X59" i="10"/>
  <c r="Y59" i="10" s="1"/>
  <c r="Z59" i="10" s="1"/>
  <c r="C60" i="10"/>
  <c r="D59" i="10"/>
  <c r="F59" i="10"/>
  <c r="G59" i="10" s="1"/>
  <c r="I60" i="10"/>
  <c r="J59" i="10"/>
  <c r="L59" i="10"/>
  <c r="M59" i="10" s="1"/>
  <c r="N59" i="10" s="1"/>
  <c r="O60" i="10"/>
  <c r="P59" i="10"/>
  <c r="R59" i="10"/>
  <c r="S59" i="10" s="1"/>
  <c r="Z58" i="2"/>
  <c r="T58" i="2"/>
  <c r="AF58" i="2"/>
  <c r="N58" i="10"/>
  <c r="AG58" i="10" s="1"/>
  <c r="AK58" i="10" s="1"/>
  <c r="H59" i="2"/>
  <c r="F60" i="2"/>
  <c r="G60" i="2" s="1"/>
  <c r="D60" i="2"/>
  <c r="C56" i="3"/>
  <c r="E56" i="3" s="1"/>
  <c r="AA61" i="10" l="1"/>
  <c r="AB60" i="10"/>
  <c r="AD60" i="10"/>
  <c r="AE60" i="10" s="1"/>
  <c r="AF60" i="10" s="1"/>
  <c r="O61" i="2"/>
  <c r="R60" i="2"/>
  <c r="S60" i="2" s="1"/>
  <c r="P60" i="2"/>
  <c r="T59" i="10"/>
  <c r="H59" i="10"/>
  <c r="U61" i="2"/>
  <c r="X60" i="2"/>
  <c r="Y60" i="2" s="1"/>
  <c r="V60" i="2"/>
  <c r="Z60" i="2" s="1"/>
  <c r="I61" i="10"/>
  <c r="J60" i="10"/>
  <c r="L60" i="10"/>
  <c r="M60" i="10" s="1"/>
  <c r="O61" i="10"/>
  <c r="P60" i="10"/>
  <c r="R60" i="10"/>
  <c r="S60" i="10" s="1"/>
  <c r="C61" i="10"/>
  <c r="D60" i="10"/>
  <c r="F60" i="10"/>
  <c r="G60" i="10" s="1"/>
  <c r="H60" i="10" s="1"/>
  <c r="I61" i="2"/>
  <c r="J60" i="2"/>
  <c r="N60" i="2" s="1"/>
  <c r="L60" i="2"/>
  <c r="M60" i="2" s="1"/>
  <c r="AF59" i="2"/>
  <c r="AG59" i="2" s="1"/>
  <c r="AI59" i="2" s="1"/>
  <c r="U61" i="10"/>
  <c r="V60" i="10"/>
  <c r="X60" i="10"/>
  <c r="Y60" i="10" s="1"/>
  <c r="AA61" i="2"/>
  <c r="AD60" i="2"/>
  <c r="AE60" i="2" s="1"/>
  <c r="AB60" i="2"/>
  <c r="AF60" i="2" s="1"/>
  <c r="Z59" i="2"/>
  <c r="H60" i="2"/>
  <c r="F61" i="2"/>
  <c r="G61" i="2" s="1"/>
  <c r="D61" i="2"/>
  <c r="C57" i="3"/>
  <c r="E57" i="3" s="1"/>
  <c r="AA62" i="10" l="1"/>
  <c r="AB61" i="10"/>
  <c r="AD61" i="10"/>
  <c r="AE61" i="10" s="1"/>
  <c r="AF61" i="10" s="1"/>
  <c r="T60" i="10"/>
  <c r="I62" i="10"/>
  <c r="J61" i="10"/>
  <c r="L61" i="10"/>
  <c r="M61" i="10" s="1"/>
  <c r="T60" i="2"/>
  <c r="AA62" i="2"/>
  <c r="AB61" i="2"/>
  <c r="AF61" i="2" s="1"/>
  <c r="AD61" i="2"/>
  <c r="AE61" i="2" s="1"/>
  <c r="Z60" i="10"/>
  <c r="I62" i="2"/>
  <c r="J61" i="2"/>
  <c r="L61" i="2"/>
  <c r="M61" i="2" s="1"/>
  <c r="O62" i="10"/>
  <c r="P61" i="10"/>
  <c r="R61" i="10"/>
  <c r="S61" i="10" s="1"/>
  <c r="O62" i="2"/>
  <c r="P61" i="2"/>
  <c r="R61" i="2"/>
  <c r="S61" i="2" s="1"/>
  <c r="C62" i="10"/>
  <c r="D61" i="10"/>
  <c r="F61" i="10"/>
  <c r="G61" i="10" s="1"/>
  <c r="U62" i="2"/>
  <c r="X61" i="2"/>
  <c r="Y61" i="2" s="1"/>
  <c r="V61" i="2"/>
  <c r="Z61" i="2" s="1"/>
  <c r="U62" i="10"/>
  <c r="V61" i="10"/>
  <c r="X61" i="10"/>
  <c r="Y61" i="10" s="1"/>
  <c r="N60" i="10"/>
  <c r="AG60" i="10" s="1"/>
  <c r="AK60" i="10" s="1"/>
  <c r="AG59" i="10"/>
  <c r="AK59" i="10" s="1"/>
  <c r="AG60" i="2"/>
  <c r="AI60" i="2" s="1"/>
  <c r="H61" i="2"/>
  <c r="F62" i="2"/>
  <c r="G62" i="2" s="1"/>
  <c r="D62" i="2"/>
  <c r="C58" i="3"/>
  <c r="E58" i="3" s="1"/>
  <c r="H61" i="10" l="1"/>
  <c r="T61" i="10"/>
  <c r="U63" i="10"/>
  <c r="V62" i="10"/>
  <c r="X62" i="10"/>
  <c r="Y62" i="10" s="1"/>
  <c r="I63" i="10"/>
  <c r="J62" i="10"/>
  <c r="L62" i="10"/>
  <c r="M62" i="10" s="1"/>
  <c r="N62" i="10" s="1"/>
  <c r="O63" i="10"/>
  <c r="P62" i="10"/>
  <c r="R62" i="10"/>
  <c r="S62" i="10" s="1"/>
  <c r="AA63" i="2"/>
  <c r="AB62" i="2"/>
  <c r="AD62" i="2"/>
  <c r="AE62" i="2" s="1"/>
  <c r="U63" i="2"/>
  <c r="V62" i="2"/>
  <c r="Z62" i="2" s="1"/>
  <c r="X62" i="2"/>
  <c r="Y62" i="2" s="1"/>
  <c r="N61" i="2"/>
  <c r="AG61" i="2" s="1"/>
  <c r="AI61" i="2" s="1"/>
  <c r="C63" i="10"/>
  <c r="D62" i="10"/>
  <c r="F62" i="10"/>
  <c r="G62" i="10" s="1"/>
  <c r="H62" i="10" s="1"/>
  <c r="T61" i="2"/>
  <c r="Z61" i="10"/>
  <c r="O63" i="2"/>
  <c r="R62" i="2"/>
  <c r="S62" i="2" s="1"/>
  <c r="P62" i="2"/>
  <c r="I63" i="2"/>
  <c r="L62" i="2"/>
  <c r="M62" i="2" s="1"/>
  <c r="J62" i="2"/>
  <c r="N61" i="10"/>
  <c r="AA63" i="10"/>
  <c r="AB62" i="10"/>
  <c r="AD62" i="10"/>
  <c r="AE62" i="10" s="1"/>
  <c r="AF62" i="10" s="1"/>
  <c r="H62" i="2"/>
  <c r="D63" i="2"/>
  <c r="F63" i="2"/>
  <c r="G63" i="2" s="1"/>
  <c r="C59" i="3"/>
  <c r="E59" i="3" s="1"/>
  <c r="N62" i="2" l="1"/>
  <c r="T62" i="10"/>
  <c r="Z62" i="10"/>
  <c r="U64" i="2"/>
  <c r="V63" i="2"/>
  <c r="X63" i="2"/>
  <c r="Y63" i="2" s="1"/>
  <c r="U64" i="10"/>
  <c r="V63" i="10"/>
  <c r="X63" i="10"/>
  <c r="Y63" i="10" s="1"/>
  <c r="Z63" i="10" s="1"/>
  <c r="AG62" i="10"/>
  <c r="AK62" i="10" s="1"/>
  <c r="O64" i="10"/>
  <c r="P63" i="10"/>
  <c r="R63" i="10"/>
  <c r="S63" i="10" s="1"/>
  <c r="T62" i="2"/>
  <c r="I64" i="2"/>
  <c r="J63" i="2"/>
  <c r="N63" i="2" s="1"/>
  <c r="L63" i="2"/>
  <c r="M63" i="2" s="1"/>
  <c r="AA64" i="10"/>
  <c r="AB63" i="10"/>
  <c r="AD63" i="10"/>
  <c r="AE63" i="10" s="1"/>
  <c r="C64" i="10"/>
  <c r="D63" i="10"/>
  <c r="F63" i="10"/>
  <c r="G63" i="10" s="1"/>
  <c r="AF62" i="2"/>
  <c r="AG62" i="2" s="1"/>
  <c r="AI62" i="2" s="1"/>
  <c r="O64" i="2"/>
  <c r="R63" i="2"/>
  <c r="S63" i="2" s="1"/>
  <c r="P63" i="2"/>
  <c r="T63" i="2" s="1"/>
  <c r="AA64" i="2"/>
  <c r="AB63" i="2"/>
  <c r="AF63" i="2" s="1"/>
  <c r="AD63" i="2"/>
  <c r="AE63" i="2" s="1"/>
  <c r="I64" i="10"/>
  <c r="J63" i="10"/>
  <c r="L63" i="10"/>
  <c r="M63" i="10" s="1"/>
  <c r="N63" i="10" s="1"/>
  <c r="AG61" i="10"/>
  <c r="AK61" i="10" s="1"/>
  <c r="H63" i="2"/>
  <c r="D64" i="2"/>
  <c r="F64" i="2"/>
  <c r="G64" i="2" s="1"/>
  <c r="C60" i="3"/>
  <c r="E60" i="3" s="1"/>
  <c r="AG63" i="2" l="1"/>
  <c r="AI63" i="2" s="1"/>
  <c r="H63" i="10"/>
  <c r="O65" i="10"/>
  <c r="P64" i="10"/>
  <c r="R64" i="10"/>
  <c r="S64" i="10" s="1"/>
  <c r="T64" i="10" s="1"/>
  <c r="Z63" i="2"/>
  <c r="AA65" i="2"/>
  <c r="AB64" i="2"/>
  <c r="AF64" i="2" s="1"/>
  <c r="AD64" i="2"/>
  <c r="AE64" i="2" s="1"/>
  <c r="C65" i="10"/>
  <c r="D64" i="10"/>
  <c r="F64" i="10"/>
  <c r="G64" i="10" s="1"/>
  <c r="AF63" i="10"/>
  <c r="I65" i="2"/>
  <c r="J64" i="2"/>
  <c r="N64" i="2" s="1"/>
  <c r="L64" i="2"/>
  <c r="M64" i="2" s="1"/>
  <c r="I65" i="10"/>
  <c r="J64" i="10"/>
  <c r="L64" i="10"/>
  <c r="M64" i="10" s="1"/>
  <c r="N64" i="10" s="1"/>
  <c r="O65" i="2"/>
  <c r="R64" i="2"/>
  <c r="S64" i="2" s="1"/>
  <c r="P64" i="2"/>
  <c r="T63" i="10"/>
  <c r="U65" i="10"/>
  <c r="V64" i="10"/>
  <c r="X64" i="10"/>
  <c r="Y64" i="10" s="1"/>
  <c r="Z64" i="10" s="1"/>
  <c r="U65" i="2"/>
  <c r="X64" i="2"/>
  <c r="Y64" i="2" s="1"/>
  <c r="V64" i="2"/>
  <c r="Z64" i="2" s="1"/>
  <c r="AA65" i="10"/>
  <c r="AB64" i="10"/>
  <c r="AD64" i="10"/>
  <c r="AE64" i="10" s="1"/>
  <c r="AF64" i="10" s="1"/>
  <c r="H64" i="2"/>
  <c r="F65" i="2"/>
  <c r="G65" i="2" s="1"/>
  <c r="D65" i="2"/>
  <c r="C61" i="3"/>
  <c r="E61" i="3" s="1"/>
  <c r="AA66" i="10" l="1"/>
  <c r="AB65" i="10"/>
  <c r="AD65" i="10"/>
  <c r="AE65" i="10" s="1"/>
  <c r="U66" i="10"/>
  <c r="V65" i="10"/>
  <c r="X65" i="10"/>
  <c r="Y65" i="10" s="1"/>
  <c r="H64" i="10"/>
  <c r="AG64" i="10" s="1"/>
  <c r="AK64" i="10" s="1"/>
  <c r="I66" i="10"/>
  <c r="J65" i="10"/>
  <c r="L65" i="10"/>
  <c r="M65" i="10" s="1"/>
  <c r="N65" i="10" s="1"/>
  <c r="T64" i="2"/>
  <c r="AG64" i="2" s="1"/>
  <c r="AI64" i="2" s="1"/>
  <c r="C66" i="10"/>
  <c r="D65" i="10"/>
  <c r="F65" i="10"/>
  <c r="G65" i="10" s="1"/>
  <c r="H65" i="10" s="1"/>
  <c r="AA66" i="2"/>
  <c r="AB65" i="2"/>
  <c r="AD65" i="2"/>
  <c r="AE65" i="2" s="1"/>
  <c r="U66" i="2"/>
  <c r="X65" i="2"/>
  <c r="Y65" i="2" s="1"/>
  <c r="V65" i="2"/>
  <c r="O66" i="10"/>
  <c r="P65" i="10"/>
  <c r="R65" i="10"/>
  <c r="S65" i="10" s="1"/>
  <c r="O66" i="2"/>
  <c r="P65" i="2"/>
  <c r="T65" i="2" s="1"/>
  <c r="R65" i="2"/>
  <c r="S65" i="2" s="1"/>
  <c r="I66" i="2"/>
  <c r="L65" i="2"/>
  <c r="M65" i="2" s="1"/>
  <c r="J65" i="2"/>
  <c r="AG63" i="10"/>
  <c r="AK63" i="10" s="1"/>
  <c r="H65" i="2"/>
  <c r="F66" i="2"/>
  <c r="G66" i="2" s="1"/>
  <c r="D66" i="2"/>
  <c r="C62" i="3"/>
  <c r="E62" i="3" s="1"/>
  <c r="O67" i="2" l="1"/>
  <c r="R66" i="2"/>
  <c r="S66" i="2" s="1"/>
  <c r="P66" i="2"/>
  <c r="N65" i="2"/>
  <c r="T65" i="10"/>
  <c r="AG65" i="10" s="1"/>
  <c r="AK65" i="10" s="1"/>
  <c r="C67" i="10"/>
  <c r="D66" i="10"/>
  <c r="F66" i="10"/>
  <c r="G66" i="10" s="1"/>
  <c r="H66" i="10" s="1"/>
  <c r="Z65" i="10"/>
  <c r="I67" i="2"/>
  <c r="L66" i="2"/>
  <c r="M66" i="2" s="1"/>
  <c r="J66" i="2"/>
  <c r="O67" i="10"/>
  <c r="P66" i="10"/>
  <c r="R66" i="10"/>
  <c r="S66" i="10" s="1"/>
  <c r="T66" i="10" s="1"/>
  <c r="AF65" i="2"/>
  <c r="U67" i="10"/>
  <c r="V66" i="10"/>
  <c r="X66" i="10"/>
  <c r="Y66" i="10" s="1"/>
  <c r="Z66" i="10" s="1"/>
  <c r="Z65" i="2"/>
  <c r="AA67" i="2"/>
  <c r="AD66" i="2"/>
  <c r="AE66" i="2" s="1"/>
  <c r="AB66" i="2"/>
  <c r="AF65" i="10"/>
  <c r="AG65" i="2"/>
  <c r="AI65" i="2" s="1"/>
  <c r="I67" i="10"/>
  <c r="J66" i="10"/>
  <c r="L66" i="10"/>
  <c r="M66" i="10" s="1"/>
  <c r="N66" i="10" s="1"/>
  <c r="U67" i="2"/>
  <c r="V66" i="2"/>
  <c r="X66" i="2"/>
  <c r="Y66" i="2" s="1"/>
  <c r="AA67" i="10"/>
  <c r="AB66" i="10"/>
  <c r="AD66" i="10"/>
  <c r="AE66" i="10" s="1"/>
  <c r="AF66" i="10" s="1"/>
  <c r="H66" i="2"/>
  <c r="F67" i="2"/>
  <c r="G67" i="2" s="1"/>
  <c r="D67" i="2"/>
  <c r="C63" i="3"/>
  <c r="E63" i="3" s="1"/>
  <c r="U68" i="2" l="1"/>
  <c r="V67" i="2"/>
  <c r="X67" i="2"/>
  <c r="Y67" i="2" s="1"/>
  <c r="AF66" i="2"/>
  <c r="U68" i="10"/>
  <c r="V67" i="10"/>
  <c r="X67" i="10"/>
  <c r="Y67" i="10" s="1"/>
  <c r="Z67" i="10" s="1"/>
  <c r="C68" i="10"/>
  <c r="D67" i="10"/>
  <c r="F67" i="10"/>
  <c r="G67" i="10" s="1"/>
  <c r="H67" i="10" s="1"/>
  <c r="O68" i="10"/>
  <c r="P67" i="10"/>
  <c r="R67" i="10"/>
  <c r="S67" i="10" s="1"/>
  <c r="T67" i="10" s="1"/>
  <c r="AA68" i="2"/>
  <c r="AD67" i="2"/>
  <c r="AE67" i="2" s="1"/>
  <c r="AB67" i="2"/>
  <c r="AF67" i="2" s="1"/>
  <c r="I68" i="2"/>
  <c r="L67" i="2"/>
  <c r="M67" i="2" s="1"/>
  <c r="J67" i="2"/>
  <c r="N67" i="2" s="1"/>
  <c r="AA68" i="10"/>
  <c r="AB67" i="10"/>
  <c r="AD67" i="10"/>
  <c r="AE67" i="10" s="1"/>
  <c r="AF67" i="10" s="1"/>
  <c r="I68" i="10"/>
  <c r="J67" i="10"/>
  <c r="L67" i="10"/>
  <c r="M67" i="10" s="1"/>
  <c r="N67" i="10" s="1"/>
  <c r="T66" i="2"/>
  <c r="AG66" i="10"/>
  <c r="AK66" i="10" s="1"/>
  <c r="Z66" i="2"/>
  <c r="N66" i="2"/>
  <c r="AG66" i="2" s="1"/>
  <c r="AI66" i="2" s="1"/>
  <c r="O68" i="2"/>
  <c r="R67" i="2"/>
  <c r="S67" i="2" s="1"/>
  <c r="P67" i="2"/>
  <c r="H67" i="2"/>
  <c r="F68" i="2"/>
  <c r="G68" i="2" s="1"/>
  <c r="D68" i="2"/>
  <c r="C64" i="3"/>
  <c r="E64" i="3" s="1"/>
  <c r="I69" i="10" l="1"/>
  <c r="J68" i="10"/>
  <c r="L68" i="10"/>
  <c r="M68" i="10" s="1"/>
  <c r="I69" i="2"/>
  <c r="L68" i="2"/>
  <c r="M68" i="2" s="1"/>
  <c r="J68" i="2"/>
  <c r="O69" i="10"/>
  <c r="P68" i="10"/>
  <c r="R68" i="10"/>
  <c r="S68" i="10" s="1"/>
  <c r="U69" i="10"/>
  <c r="V68" i="10"/>
  <c r="X68" i="10"/>
  <c r="Y68" i="10" s="1"/>
  <c r="AG67" i="10"/>
  <c r="AK67" i="10" s="1"/>
  <c r="AG67" i="2"/>
  <c r="AI67" i="2" s="1"/>
  <c r="T67" i="2"/>
  <c r="AA69" i="10"/>
  <c r="AB68" i="10"/>
  <c r="AD68" i="10"/>
  <c r="AE68" i="10" s="1"/>
  <c r="AA69" i="2"/>
  <c r="AD68" i="2"/>
  <c r="AE68" i="2" s="1"/>
  <c r="AB68" i="2"/>
  <c r="C69" i="10"/>
  <c r="D68" i="10"/>
  <c r="F68" i="10"/>
  <c r="G68" i="10" s="1"/>
  <c r="Z67" i="2"/>
  <c r="U69" i="2"/>
  <c r="X68" i="2"/>
  <c r="Y68" i="2" s="1"/>
  <c r="V68" i="2"/>
  <c r="Z68" i="2" s="1"/>
  <c r="O69" i="2"/>
  <c r="R68" i="2"/>
  <c r="S68" i="2" s="1"/>
  <c r="P68" i="2"/>
  <c r="H68" i="2"/>
  <c r="F69" i="2"/>
  <c r="G69" i="2" s="1"/>
  <c r="D69" i="2"/>
  <c r="C65" i="3"/>
  <c r="E65" i="3" s="1"/>
  <c r="U70" i="2" l="1"/>
  <c r="V69" i="2"/>
  <c r="Z69" i="2" s="1"/>
  <c r="X69" i="2"/>
  <c r="Y69" i="2" s="1"/>
  <c r="H68" i="10"/>
  <c r="AF68" i="10"/>
  <c r="Z68" i="10"/>
  <c r="N68" i="2"/>
  <c r="O70" i="2"/>
  <c r="P69" i="2"/>
  <c r="R69" i="2"/>
  <c r="S69" i="2" s="1"/>
  <c r="C70" i="10"/>
  <c r="D69" i="10"/>
  <c r="F69" i="10"/>
  <c r="G69" i="10" s="1"/>
  <c r="AA70" i="10"/>
  <c r="AB69" i="10"/>
  <c r="AD69" i="10"/>
  <c r="AE69" i="10" s="1"/>
  <c r="AF69" i="10" s="1"/>
  <c r="U70" i="10"/>
  <c r="V69" i="10"/>
  <c r="X69" i="10"/>
  <c r="Y69" i="10" s="1"/>
  <c r="I70" i="2"/>
  <c r="J69" i="2"/>
  <c r="L69" i="2"/>
  <c r="M69" i="2" s="1"/>
  <c r="AF68" i="2"/>
  <c r="AG68" i="2" s="1"/>
  <c r="AI68" i="2" s="1"/>
  <c r="T68" i="10"/>
  <c r="N68" i="10"/>
  <c r="T68" i="2"/>
  <c r="AA70" i="2"/>
  <c r="AB69" i="2"/>
  <c r="AF69" i="2" s="1"/>
  <c r="AD69" i="2"/>
  <c r="AE69" i="2" s="1"/>
  <c r="O70" i="10"/>
  <c r="P69" i="10"/>
  <c r="R69" i="10"/>
  <c r="S69" i="10" s="1"/>
  <c r="I70" i="10"/>
  <c r="J69" i="10"/>
  <c r="L69" i="10"/>
  <c r="M69" i="10" s="1"/>
  <c r="H69" i="2"/>
  <c r="F70" i="2"/>
  <c r="G70" i="2" s="1"/>
  <c r="D70" i="2"/>
  <c r="C66" i="3"/>
  <c r="E66" i="3" s="1"/>
  <c r="AA71" i="2" l="1"/>
  <c r="AD70" i="2"/>
  <c r="AE70" i="2" s="1"/>
  <c r="AB70" i="2"/>
  <c r="N69" i="10"/>
  <c r="C71" i="10"/>
  <c r="D70" i="10"/>
  <c r="F70" i="10"/>
  <c r="G70" i="10" s="1"/>
  <c r="AG68" i="10"/>
  <c r="AK68" i="10" s="1"/>
  <c r="T69" i="10"/>
  <c r="N69" i="2"/>
  <c r="T69" i="2"/>
  <c r="I71" i="10"/>
  <c r="J70" i="10"/>
  <c r="L70" i="10"/>
  <c r="M70" i="10" s="1"/>
  <c r="N70" i="10" s="1"/>
  <c r="U71" i="10"/>
  <c r="V70" i="10"/>
  <c r="X70" i="10"/>
  <c r="Y70" i="10" s="1"/>
  <c r="Z70" i="10" s="1"/>
  <c r="I71" i="2"/>
  <c r="J70" i="2"/>
  <c r="L70" i="2"/>
  <c r="M70" i="2" s="1"/>
  <c r="AA71" i="10"/>
  <c r="AB70" i="10"/>
  <c r="AD70" i="10"/>
  <c r="AE70" i="10" s="1"/>
  <c r="AF70" i="10" s="1"/>
  <c r="O71" i="2"/>
  <c r="P70" i="2"/>
  <c r="R70" i="2"/>
  <c r="S70" i="2" s="1"/>
  <c r="AG69" i="2"/>
  <c r="AI69" i="2" s="1"/>
  <c r="O71" i="10"/>
  <c r="P70" i="10"/>
  <c r="R70" i="10"/>
  <c r="S70" i="10" s="1"/>
  <c r="T70" i="10" s="1"/>
  <c r="Z69" i="10"/>
  <c r="H69" i="10"/>
  <c r="AG69" i="10" s="1"/>
  <c r="AK69" i="10" s="1"/>
  <c r="U71" i="2"/>
  <c r="X70" i="2"/>
  <c r="Y70" i="2" s="1"/>
  <c r="V70" i="2"/>
  <c r="Z70" i="2" s="1"/>
  <c r="H70" i="2"/>
  <c r="F71" i="2"/>
  <c r="G71" i="2" s="1"/>
  <c r="D71" i="2"/>
  <c r="C67" i="3"/>
  <c r="E67" i="3" s="1"/>
  <c r="O72" i="2" l="1"/>
  <c r="R71" i="2"/>
  <c r="S71" i="2" s="1"/>
  <c r="P71" i="2"/>
  <c r="T71" i="2" s="1"/>
  <c r="I72" i="2"/>
  <c r="J71" i="2"/>
  <c r="L71" i="2"/>
  <c r="M71" i="2" s="1"/>
  <c r="I72" i="10"/>
  <c r="J71" i="10"/>
  <c r="L71" i="10"/>
  <c r="M71" i="10" s="1"/>
  <c r="N71" i="10" s="1"/>
  <c r="C72" i="10"/>
  <c r="D71" i="10"/>
  <c r="F71" i="10"/>
  <c r="G71" i="10" s="1"/>
  <c r="O72" i="10"/>
  <c r="P71" i="10"/>
  <c r="R71" i="10"/>
  <c r="S71" i="10" s="1"/>
  <c r="T71" i="10" s="1"/>
  <c r="U72" i="2"/>
  <c r="X71" i="2"/>
  <c r="Y71" i="2" s="1"/>
  <c r="V71" i="2"/>
  <c r="AA72" i="10"/>
  <c r="AB71" i="10"/>
  <c r="AD71" i="10"/>
  <c r="AE71" i="10" s="1"/>
  <c r="AF71" i="10" s="1"/>
  <c r="U72" i="10"/>
  <c r="V71" i="10"/>
  <c r="X71" i="10"/>
  <c r="Y71" i="10" s="1"/>
  <c r="AF70" i="2"/>
  <c r="T70" i="2"/>
  <c r="N70" i="2"/>
  <c r="AG70" i="2" s="1"/>
  <c r="AI70" i="2" s="1"/>
  <c r="H70" i="10"/>
  <c r="AG70" i="10" s="1"/>
  <c r="AK70" i="10" s="1"/>
  <c r="AA72" i="2"/>
  <c r="AB71" i="2"/>
  <c r="AD71" i="2"/>
  <c r="AE71" i="2" s="1"/>
  <c r="H71" i="2"/>
  <c r="D72" i="2"/>
  <c r="F72" i="2"/>
  <c r="G72" i="2" s="1"/>
  <c r="C68" i="3"/>
  <c r="E68" i="3" s="1"/>
  <c r="AA73" i="2" l="1"/>
  <c r="AD72" i="2"/>
  <c r="AE72" i="2" s="1"/>
  <c r="AB72" i="2"/>
  <c r="AF72" i="2" s="1"/>
  <c r="C73" i="10"/>
  <c r="D72" i="10"/>
  <c r="F72" i="10"/>
  <c r="G72" i="10" s="1"/>
  <c r="H72" i="10" s="1"/>
  <c r="N71" i="2"/>
  <c r="I73" i="2"/>
  <c r="J72" i="2"/>
  <c r="L72" i="2"/>
  <c r="M72" i="2" s="1"/>
  <c r="U73" i="2"/>
  <c r="V72" i="2"/>
  <c r="Z72" i="2" s="1"/>
  <c r="X72" i="2"/>
  <c r="Y72" i="2" s="1"/>
  <c r="AA73" i="10"/>
  <c r="AB72" i="10"/>
  <c r="AD72" i="10"/>
  <c r="AE72" i="10" s="1"/>
  <c r="AF72" i="10" s="1"/>
  <c r="O73" i="10"/>
  <c r="P72" i="10"/>
  <c r="R72" i="10"/>
  <c r="S72" i="10" s="1"/>
  <c r="T72" i="10" s="1"/>
  <c r="U73" i="10"/>
  <c r="V72" i="10"/>
  <c r="X72" i="10"/>
  <c r="Y72" i="10" s="1"/>
  <c r="Z72" i="10" s="1"/>
  <c r="AF71" i="2"/>
  <c r="Z71" i="10"/>
  <c r="Z71" i="2"/>
  <c r="AG71" i="2" s="1"/>
  <c r="AI71" i="2" s="1"/>
  <c r="H71" i="10"/>
  <c r="AG71" i="10" s="1"/>
  <c r="AK71" i="10" s="1"/>
  <c r="I73" i="10"/>
  <c r="J72" i="10"/>
  <c r="L72" i="10"/>
  <c r="M72" i="10" s="1"/>
  <c r="N72" i="10" s="1"/>
  <c r="O73" i="2"/>
  <c r="R72" i="2"/>
  <c r="S72" i="2" s="1"/>
  <c r="P72" i="2"/>
  <c r="T72" i="2" s="1"/>
  <c r="H72" i="2"/>
  <c r="F73" i="2"/>
  <c r="G73" i="2" s="1"/>
  <c r="D73" i="2"/>
  <c r="C69" i="3"/>
  <c r="E69" i="3" s="1"/>
  <c r="AG72" i="10" l="1"/>
  <c r="AK72" i="10" s="1"/>
  <c r="U74" i="2"/>
  <c r="V73" i="2"/>
  <c r="X73" i="2"/>
  <c r="Y73" i="2" s="1"/>
  <c r="I74" i="10"/>
  <c r="J73" i="10"/>
  <c r="L73" i="10"/>
  <c r="M73" i="10" s="1"/>
  <c r="N73" i="10" s="1"/>
  <c r="C74" i="10"/>
  <c r="D73" i="10"/>
  <c r="F73" i="10"/>
  <c r="G73" i="10" s="1"/>
  <c r="H73" i="10" s="1"/>
  <c r="AA74" i="10"/>
  <c r="AB73" i="10"/>
  <c r="AD73" i="10"/>
  <c r="AE73" i="10" s="1"/>
  <c r="AF73" i="10" s="1"/>
  <c r="N72" i="2"/>
  <c r="AG72" i="2" s="1"/>
  <c r="AI72" i="2" s="1"/>
  <c r="O74" i="10"/>
  <c r="P73" i="10"/>
  <c r="R73" i="10"/>
  <c r="S73" i="10" s="1"/>
  <c r="T73" i="10" s="1"/>
  <c r="I74" i="2"/>
  <c r="J73" i="2"/>
  <c r="N73" i="2" s="1"/>
  <c r="L73" i="2"/>
  <c r="M73" i="2" s="1"/>
  <c r="U74" i="10"/>
  <c r="V73" i="10"/>
  <c r="X73" i="10"/>
  <c r="Y73" i="10" s="1"/>
  <c r="Z73" i="10" s="1"/>
  <c r="O74" i="2"/>
  <c r="R73" i="2"/>
  <c r="S73" i="2" s="1"/>
  <c r="P73" i="2"/>
  <c r="T73" i="2" s="1"/>
  <c r="AA74" i="2"/>
  <c r="AB73" i="2"/>
  <c r="AD73" i="2"/>
  <c r="AE73" i="2" s="1"/>
  <c r="H73" i="2"/>
  <c r="F74" i="2"/>
  <c r="G74" i="2" s="1"/>
  <c r="D74" i="2"/>
  <c r="C70" i="3"/>
  <c r="E70" i="3" s="1"/>
  <c r="AA75" i="10" l="1"/>
  <c r="AB74" i="10"/>
  <c r="AD74" i="10"/>
  <c r="AE74" i="10" s="1"/>
  <c r="AF74" i="10" s="1"/>
  <c r="I75" i="10"/>
  <c r="J74" i="10"/>
  <c r="L74" i="10"/>
  <c r="M74" i="10" s="1"/>
  <c r="N74" i="10" s="1"/>
  <c r="AG73" i="10"/>
  <c r="AK73" i="10" s="1"/>
  <c r="U75" i="10"/>
  <c r="V74" i="10"/>
  <c r="X74" i="10"/>
  <c r="Y74" i="10" s="1"/>
  <c r="Z74" i="10" s="1"/>
  <c r="O75" i="10"/>
  <c r="P74" i="10"/>
  <c r="R74" i="10"/>
  <c r="S74" i="10" s="1"/>
  <c r="AF73" i="2"/>
  <c r="C75" i="10"/>
  <c r="D74" i="10"/>
  <c r="F74" i="10"/>
  <c r="G74" i="10" s="1"/>
  <c r="H74" i="10" s="1"/>
  <c r="Z73" i="2"/>
  <c r="AG73" i="2" s="1"/>
  <c r="AI73" i="2" s="1"/>
  <c r="AA75" i="2"/>
  <c r="AD74" i="2"/>
  <c r="AE74" i="2" s="1"/>
  <c r="AB74" i="2"/>
  <c r="AF74" i="2" s="1"/>
  <c r="U75" i="2"/>
  <c r="V74" i="2"/>
  <c r="X74" i="2"/>
  <c r="Y74" i="2" s="1"/>
  <c r="O75" i="2"/>
  <c r="R74" i="2"/>
  <c r="S74" i="2" s="1"/>
  <c r="P74" i="2"/>
  <c r="T74" i="2" s="1"/>
  <c r="I75" i="2"/>
  <c r="J74" i="2"/>
  <c r="N74" i="2" s="1"/>
  <c r="L74" i="2"/>
  <c r="M74" i="2" s="1"/>
  <c r="H74" i="2"/>
  <c r="F75" i="2"/>
  <c r="G75" i="2" s="1"/>
  <c r="D75" i="2"/>
  <c r="C71" i="3"/>
  <c r="E71" i="3" s="1"/>
  <c r="O76" i="10" l="1"/>
  <c r="P75" i="10"/>
  <c r="R75" i="10"/>
  <c r="S75" i="10" s="1"/>
  <c r="T75" i="10" s="1"/>
  <c r="I76" i="2"/>
  <c r="L75" i="2"/>
  <c r="M75" i="2" s="1"/>
  <c r="J75" i="2"/>
  <c r="N75" i="2" s="1"/>
  <c r="I76" i="10"/>
  <c r="J75" i="10"/>
  <c r="L75" i="10"/>
  <c r="M75" i="10" s="1"/>
  <c r="N75" i="10" s="1"/>
  <c r="C76" i="10"/>
  <c r="D75" i="10"/>
  <c r="F75" i="10"/>
  <c r="G75" i="10" s="1"/>
  <c r="H75" i="10" s="1"/>
  <c r="Z74" i="2"/>
  <c r="O76" i="2"/>
  <c r="P75" i="2"/>
  <c r="R75" i="2"/>
  <c r="S75" i="2" s="1"/>
  <c r="U76" i="10"/>
  <c r="V75" i="10"/>
  <c r="X75" i="10"/>
  <c r="Y75" i="10" s="1"/>
  <c r="U76" i="2"/>
  <c r="V75" i="2"/>
  <c r="X75" i="2"/>
  <c r="Y75" i="2" s="1"/>
  <c r="AG74" i="2"/>
  <c r="AI74" i="2" s="1"/>
  <c r="AA76" i="2"/>
  <c r="AB75" i="2"/>
  <c r="AD75" i="2"/>
  <c r="AE75" i="2" s="1"/>
  <c r="T74" i="10"/>
  <c r="AG74" i="10" s="1"/>
  <c r="AK74" i="10" s="1"/>
  <c r="AA76" i="10"/>
  <c r="AB75" i="10"/>
  <c r="AD75" i="10"/>
  <c r="AE75" i="10" s="1"/>
  <c r="AF75" i="10" s="1"/>
  <c r="H75" i="2"/>
  <c r="F76" i="2"/>
  <c r="G76" i="2" s="1"/>
  <c r="D76" i="2"/>
  <c r="C72" i="3"/>
  <c r="E72" i="3" s="1"/>
  <c r="AA77" i="2" l="1"/>
  <c r="AD76" i="2"/>
  <c r="AE76" i="2" s="1"/>
  <c r="AB76" i="2"/>
  <c r="AF76" i="2" s="1"/>
  <c r="U77" i="10"/>
  <c r="V76" i="10"/>
  <c r="X76" i="10"/>
  <c r="Y76" i="10" s="1"/>
  <c r="Z75" i="2"/>
  <c r="AA77" i="10"/>
  <c r="AB76" i="10"/>
  <c r="AD76" i="10"/>
  <c r="AE76" i="10" s="1"/>
  <c r="AF76" i="10" s="1"/>
  <c r="C77" i="10"/>
  <c r="D76" i="10"/>
  <c r="F76" i="10"/>
  <c r="G76" i="10" s="1"/>
  <c r="U77" i="2"/>
  <c r="V76" i="2"/>
  <c r="X76" i="2"/>
  <c r="Y76" i="2" s="1"/>
  <c r="O77" i="2"/>
  <c r="P76" i="2"/>
  <c r="T76" i="2" s="1"/>
  <c r="R76" i="2"/>
  <c r="S76" i="2" s="1"/>
  <c r="I77" i="2"/>
  <c r="L76" i="2"/>
  <c r="M76" i="2" s="1"/>
  <c r="J76" i="2"/>
  <c r="N76" i="2" s="1"/>
  <c r="T75" i="2"/>
  <c r="AG75" i="2"/>
  <c r="AI75" i="2" s="1"/>
  <c r="AF75" i="2"/>
  <c r="Z75" i="10"/>
  <c r="I77" i="10"/>
  <c r="J76" i="10"/>
  <c r="L76" i="10"/>
  <c r="M76" i="10" s="1"/>
  <c r="N76" i="10" s="1"/>
  <c r="O77" i="10"/>
  <c r="P76" i="10"/>
  <c r="R76" i="10"/>
  <c r="S76" i="10" s="1"/>
  <c r="T76" i="10" s="1"/>
  <c r="AG75" i="10"/>
  <c r="AK75" i="10" s="1"/>
  <c r="H76" i="2"/>
  <c r="F77" i="2"/>
  <c r="G77" i="2" s="1"/>
  <c r="D77" i="2"/>
  <c r="C73" i="3"/>
  <c r="E73" i="3" s="1"/>
  <c r="Z76" i="10" l="1"/>
  <c r="U78" i="10"/>
  <c r="V77" i="10"/>
  <c r="X77" i="10"/>
  <c r="Y77" i="10" s="1"/>
  <c r="Z77" i="10" s="1"/>
  <c r="O78" i="2"/>
  <c r="R77" i="2"/>
  <c r="S77" i="2" s="1"/>
  <c r="P77" i="2"/>
  <c r="I78" i="10"/>
  <c r="J77" i="10"/>
  <c r="L77" i="10"/>
  <c r="M77" i="10" s="1"/>
  <c r="N77" i="10" s="1"/>
  <c r="Z76" i="2"/>
  <c r="AG76" i="2" s="1"/>
  <c r="AI76" i="2" s="1"/>
  <c r="I78" i="2"/>
  <c r="L77" i="2"/>
  <c r="M77" i="2" s="1"/>
  <c r="J77" i="2"/>
  <c r="N77" i="2" s="1"/>
  <c r="U78" i="2"/>
  <c r="X77" i="2"/>
  <c r="Y77" i="2" s="1"/>
  <c r="V77" i="2"/>
  <c r="Z77" i="2" s="1"/>
  <c r="AA78" i="10"/>
  <c r="AB77" i="10"/>
  <c r="AD77" i="10"/>
  <c r="AE77" i="10" s="1"/>
  <c r="AF77" i="10" s="1"/>
  <c r="O78" i="10"/>
  <c r="P77" i="10"/>
  <c r="R77" i="10"/>
  <c r="S77" i="10" s="1"/>
  <c r="T77" i="10" s="1"/>
  <c r="C78" i="10"/>
  <c r="D77" i="10"/>
  <c r="F77" i="10"/>
  <c r="G77" i="10" s="1"/>
  <c r="H77" i="10" s="1"/>
  <c r="H76" i="10"/>
  <c r="AG76" i="10" s="1"/>
  <c r="AK76" i="10" s="1"/>
  <c r="AA78" i="2"/>
  <c r="AB77" i="2"/>
  <c r="AF77" i="2" s="1"/>
  <c r="AD77" i="2"/>
  <c r="AE77" i="2" s="1"/>
  <c r="H77" i="2"/>
  <c r="F78" i="2"/>
  <c r="G78" i="2" s="1"/>
  <c r="D78" i="2"/>
  <c r="C74" i="3"/>
  <c r="E74" i="3" s="1"/>
  <c r="AA79" i="10" l="1"/>
  <c r="AB78" i="10"/>
  <c r="AD78" i="10"/>
  <c r="AE78" i="10" s="1"/>
  <c r="AF78" i="10" s="1"/>
  <c r="I79" i="2"/>
  <c r="J78" i="2"/>
  <c r="N78" i="2" s="1"/>
  <c r="L78" i="2"/>
  <c r="M78" i="2" s="1"/>
  <c r="AA79" i="2"/>
  <c r="AD78" i="2"/>
  <c r="AE78" i="2" s="1"/>
  <c r="AB78" i="2"/>
  <c r="AF78" i="2" s="1"/>
  <c r="O79" i="10"/>
  <c r="P78" i="10"/>
  <c r="R78" i="10"/>
  <c r="S78" i="10" s="1"/>
  <c r="U79" i="2"/>
  <c r="X78" i="2"/>
  <c r="Y78" i="2" s="1"/>
  <c r="V78" i="2"/>
  <c r="Z78" i="2" s="1"/>
  <c r="C79" i="10"/>
  <c r="D78" i="10"/>
  <c r="F78" i="10"/>
  <c r="G78" i="10" s="1"/>
  <c r="I79" i="10"/>
  <c r="J78" i="10"/>
  <c r="L78" i="10"/>
  <c r="M78" i="10" s="1"/>
  <c r="N78" i="10" s="1"/>
  <c r="U79" i="10"/>
  <c r="V78" i="10"/>
  <c r="X78" i="10"/>
  <c r="Y78" i="10" s="1"/>
  <c r="Z78" i="10" s="1"/>
  <c r="O79" i="2"/>
  <c r="R78" i="2"/>
  <c r="S78" i="2" s="1"/>
  <c r="P78" i="2"/>
  <c r="T78" i="2" s="1"/>
  <c r="AG77" i="10"/>
  <c r="AK77" i="10" s="1"/>
  <c r="T77" i="2"/>
  <c r="AG77" i="2" s="1"/>
  <c r="AI77" i="2" s="1"/>
  <c r="H78" i="2"/>
  <c r="D79" i="2"/>
  <c r="F79" i="2"/>
  <c r="G79" i="2" s="1"/>
  <c r="C75" i="3"/>
  <c r="E75" i="3" s="1"/>
  <c r="H78" i="10" l="1"/>
  <c r="T78" i="10"/>
  <c r="C80" i="10"/>
  <c r="D79" i="10"/>
  <c r="F79" i="10"/>
  <c r="G79" i="10" s="1"/>
  <c r="H79" i="10" s="1"/>
  <c r="O80" i="10"/>
  <c r="P79" i="10"/>
  <c r="R79" i="10"/>
  <c r="S79" i="10" s="1"/>
  <c r="T79" i="10" s="1"/>
  <c r="I80" i="2"/>
  <c r="L79" i="2"/>
  <c r="M79" i="2" s="1"/>
  <c r="J79" i="2"/>
  <c r="N79" i="2" s="1"/>
  <c r="U80" i="10"/>
  <c r="V79" i="10"/>
  <c r="X79" i="10"/>
  <c r="Y79" i="10" s="1"/>
  <c r="Z79" i="10" s="1"/>
  <c r="AG78" i="2"/>
  <c r="AI78" i="2" s="1"/>
  <c r="O80" i="2"/>
  <c r="R79" i="2"/>
  <c r="S79" i="2" s="1"/>
  <c r="P79" i="2"/>
  <c r="I80" i="10"/>
  <c r="J79" i="10"/>
  <c r="L79" i="10"/>
  <c r="M79" i="10" s="1"/>
  <c r="U80" i="2"/>
  <c r="V79" i="2"/>
  <c r="Z79" i="2" s="1"/>
  <c r="X79" i="2"/>
  <c r="Y79" i="2" s="1"/>
  <c r="AA80" i="2"/>
  <c r="AD79" i="2"/>
  <c r="AE79" i="2" s="1"/>
  <c r="AB79" i="2"/>
  <c r="AA80" i="10"/>
  <c r="AB79" i="10"/>
  <c r="AD79" i="10"/>
  <c r="AE79" i="10" s="1"/>
  <c r="H79" i="2"/>
  <c r="D80" i="2"/>
  <c r="F80" i="2"/>
  <c r="G80" i="2" s="1"/>
  <c r="C76" i="3"/>
  <c r="E76" i="3" s="1"/>
  <c r="AF79" i="10" l="1"/>
  <c r="T79" i="2"/>
  <c r="U81" i="10"/>
  <c r="V80" i="10"/>
  <c r="X80" i="10"/>
  <c r="Y80" i="10" s="1"/>
  <c r="Z80" i="10" s="1"/>
  <c r="O81" i="10"/>
  <c r="P80" i="10"/>
  <c r="R80" i="10"/>
  <c r="S80" i="10" s="1"/>
  <c r="T80" i="10" s="1"/>
  <c r="AA81" i="10"/>
  <c r="AB80" i="10"/>
  <c r="AD80" i="10"/>
  <c r="AE80" i="10" s="1"/>
  <c r="U81" i="2"/>
  <c r="X80" i="2"/>
  <c r="Y80" i="2" s="1"/>
  <c r="V80" i="2"/>
  <c r="Z80" i="2" s="1"/>
  <c r="O81" i="2"/>
  <c r="R80" i="2"/>
  <c r="S80" i="2" s="1"/>
  <c r="P80" i="2"/>
  <c r="AF79" i="2"/>
  <c r="N79" i="10"/>
  <c r="AG79" i="10" s="1"/>
  <c r="AK79" i="10" s="1"/>
  <c r="I81" i="2"/>
  <c r="J80" i="2"/>
  <c r="L80" i="2"/>
  <c r="M80" i="2" s="1"/>
  <c r="C81" i="10"/>
  <c r="D80" i="10"/>
  <c r="F80" i="10"/>
  <c r="G80" i="10" s="1"/>
  <c r="H80" i="10" s="1"/>
  <c r="AG79" i="2"/>
  <c r="AI79" i="2" s="1"/>
  <c r="AA81" i="2"/>
  <c r="AD80" i="2"/>
  <c r="AE80" i="2" s="1"/>
  <c r="AB80" i="2"/>
  <c r="I81" i="10"/>
  <c r="J80" i="10"/>
  <c r="L80" i="10"/>
  <c r="M80" i="10" s="1"/>
  <c r="N80" i="10" s="1"/>
  <c r="AG78" i="10"/>
  <c r="AK78" i="10" s="1"/>
  <c r="H80" i="2"/>
  <c r="F81" i="2"/>
  <c r="G81" i="2" s="1"/>
  <c r="D81" i="2"/>
  <c r="C77" i="3"/>
  <c r="E77" i="3" s="1"/>
  <c r="AF80" i="2" l="1"/>
  <c r="C82" i="10"/>
  <c r="D81" i="10"/>
  <c r="F81" i="10"/>
  <c r="G81" i="10" s="1"/>
  <c r="H81" i="10" s="1"/>
  <c r="T80" i="2"/>
  <c r="AF80" i="10"/>
  <c r="O82" i="10"/>
  <c r="P81" i="10"/>
  <c r="R81" i="10"/>
  <c r="S81" i="10" s="1"/>
  <c r="T81" i="10" s="1"/>
  <c r="AA82" i="2"/>
  <c r="AB81" i="2"/>
  <c r="AD81" i="2"/>
  <c r="AE81" i="2" s="1"/>
  <c r="N80" i="2"/>
  <c r="AG80" i="2" s="1"/>
  <c r="AI80" i="2" s="1"/>
  <c r="O82" i="2"/>
  <c r="R81" i="2"/>
  <c r="S81" i="2" s="1"/>
  <c r="P81" i="2"/>
  <c r="T81" i="2" s="1"/>
  <c r="AA82" i="10"/>
  <c r="AB81" i="10"/>
  <c r="AD81" i="10"/>
  <c r="AE81" i="10" s="1"/>
  <c r="AF81" i="10" s="1"/>
  <c r="I82" i="2"/>
  <c r="L81" i="2"/>
  <c r="M81" i="2" s="1"/>
  <c r="J81" i="2"/>
  <c r="N81" i="2" s="1"/>
  <c r="U82" i="10"/>
  <c r="V81" i="10"/>
  <c r="X81" i="10"/>
  <c r="Y81" i="10" s="1"/>
  <c r="Z81" i="10" s="1"/>
  <c r="AG80" i="10"/>
  <c r="AK80" i="10" s="1"/>
  <c r="I82" i="10"/>
  <c r="J81" i="10"/>
  <c r="L81" i="10"/>
  <c r="M81" i="10" s="1"/>
  <c r="N81" i="10" s="1"/>
  <c r="U82" i="2"/>
  <c r="V81" i="2"/>
  <c r="Z81" i="2" s="1"/>
  <c r="X81" i="2"/>
  <c r="Y81" i="2" s="1"/>
  <c r="H81" i="2"/>
  <c r="F82" i="2"/>
  <c r="G82" i="2" s="1"/>
  <c r="D82" i="2"/>
  <c r="C78" i="3"/>
  <c r="E78" i="3" s="1"/>
  <c r="U83" i="2" l="1"/>
  <c r="X82" i="2"/>
  <c r="Y82" i="2" s="1"/>
  <c r="V82" i="2"/>
  <c r="Z82" i="2" s="1"/>
  <c r="AA83" i="10"/>
  <c r="AB82" i="10"/>
  <c r="AD82" i="10"/>
  <c r="AE82" i="10" s="1"/>
  <c r="AF81" i="2"/>
  <c r="AA83" i="2"/>
  <c r="AB82" i="2"/>
  <c r="AD82" i="2"/>
  <c r="AE82" i="2" s="1"/>
  <c r="AG81" i="10"/>
  <c r="AK81" i="10" s="1"/>
  <c r="I83" i="10"/>
  <c r="J82" i="10"/>
  <c r="L82" i="10"/>
  <c r="M82" i="10" s="1"/>
  <c r="N82" i="10" s="1"/>
  <c r="U83" i="10"/>
  <c r="V82" i="10"/>
  <c r="X82" i="10"/>
  <c r="Y82" i="10" s="1"/>
  <c r="Z82" i="10" s="1"/>
  <c r="AG81" i="2"/>
  <c r="AI81" i="2" s="1"/>
  <c r="I83" i="2"/>
  <c r="L82" i="2"/>
  <c r="M82" i="2" s="1"/>
  <c r="J82" i="2"/>
  <c r="O83" i="2"/>
  <c r="R82" i="2"/>
  <c r="S82" i="2" s="1"/>
  <c r="P82" i="2"/>
  <c r="T82" i="2" s="1"/>
  <c r="C83" i="10"/>
  <c r="D82" i="10"/>
  <c r="F82" i="10"/>
  <c r="G82" i="10" s="1"/>
  <c r="O83" i="10"/>
  <c r="P82" i="10"/>
  <c r="R82" i="10"/>
  <c r="S82" i="10" s="1"/>
  <c r="T82" i="10" s="1"/>
  <c r="C79" i="3"/>
  <c r="E79" i="3" s="1"/>
  <c r="H82" i="2"/>
  <c r="F83" i="2"/>
  <c r="G83" i="2" s="1"/>
  <c r="D83" i="2"/>
  <c r="I84" i="10" l="1"/>
  <c r="J83" i="10"/>
  <c r="L83" i="10"/>
  <c r="M83" i="10" s="1"/>
  <c r="N83" i="10" s="1"/>
  <c r="AF82" i="10"/>
  <c r="O84" i="10"/>
  <c r="P83" i="10"/>
  <c r="R83" i="10"/>
  <c r="S83" i="10" s="1"/>
  <c r="T83" i="10" s="1"/>
  <c r="O84" i="2"/>
  <c r="P83" i="2"/>
  <c r="T83" i="2" s="1"/>
  <c r="R83" i="2"/>
  <c r="S83" i="2" s="1"/>
  <c r="AA84" i="10"/>
  <c r="AB83" i="10"/>
  <c r="AD83" i="10"/>
  <c r="AE83" i="10" s="1"/>
  <c r="AF83" i="10" s="1"/>
  <c r="H82" i="10"/>
  <c r="AG82" i="10" s="1"/>
  <c r="AK82" i="10" s="1"/>
  <c r="N82" i="2"/>
  <c r="U84" i="10"/>
  <c r="V83" i="10"/>
  <c r="X83" i="10"/>
  <c r="Y83" i="10" s="1"/>
  <c r="Z83" i="10" s="1"/>
  <c r="AF82" i="2"/>
  <c r="AG82" i="2" s="1"/>
  <c r="AI82" i="2" s="1"/>
  <c r="AA84" i="2"/>
  <c r="AB83" i="2"/>
  <c r="AD83" i="2"/>
  <c r="AE83" i="2" s="1"/>
  <c r="C84" i="10"/>
  <c r="D83" i="10"/>
  <c r="F83" i="10"/>
  <c r="G83" i="10" s="1"/>
  <c r="H83" i="10" s="1"/>
  <c r="AG83" i="10" s="1"/>
  <c r="AK83" i="10" s="1"/>
  <c r="I84" i="2"/>
  <c r="L83" i="2"/>
  <c r="M83" i="2" s="1"/>
  <c r="J83" i="2"/>
  <c r="N83" i="2" s="1"/>
  <c r="U84" i="2"/>
  <c r="X83" i="2"/>
  <c r="Y83" i="2" s="1"/>
  <c r="V83" i="2"/>
  <c r="Z83" i="2" s="1"/>
  <c r="H83" i="2"/>
  <c r="F84" i="2"/>
  <c r="G84" i="2" s="1"/>
  <c r="D84" i="2"/>
  <c r="C80" i="3"/>
  <c r="E80" i="3" s="1"/>
  <c r="C85" i="10" l="1"/>
  <c r="D84" i="10"/>
  <c r="F84" i="10"/>
  <c r="G84" i="10" s="1"/>
  <c r="H84" i="10" s="1"/>
  <c r="U85" i="10"/>
  <c r="V84" i="10"/>
  <c r="X84" i="10"/>
  <c r="Y84" i="10" s="1"/>
  <c r="O85" i="10"/>
  <c r="P84" i="10"/>
  <c r="R84" i="10"/>
  <c r="S84" i="10" s="1"/>
  <c r="T84" i="10" s="1"/>
  <c r="AF83" i="2"/>
  <c r="AG83" i="2" s="1"/>
  <c r="AI83" i="2" s="1"/>
  <c r="U85" i="2"/>
  <c r="X84" i="2"/>
  <c r="Y84" i="2" s="1"/>
  <c r="V84" i="2"/>
  <c r="Z84" i="2" s="1"/>
  <c r="AA85" i="10"/>
  <c r="AB84" i="10"/>
  <c r="AD84" i="10"/>
  <c r="AE84" i="10" s="1"/>
  <c r="AF84" i="10" s="1"/>
  <c r="I85" i="2"/>
  <c r="J84" i="2"/>
  <c r="L84" i="2"/>
  <c r="M84" i="2" s="1"/>
  <c r="AA85" i="2"/>
  <c r="AD84" i="2"/>
  <c r="AE84" i="2" s="1"/>
  <c r="AB84" i="2"/>
  <c r="AF84" i="2" s="1"/>
  <c r="O85" i="2"/>
  <c r="R84" i="2"/>
  <c r="S84" i="2" s="1"/>
  <c r="P84" i="2"/>
  <c r="T84" i="2" s="1"/>
  <c r="I85" i="10"/>
  <c r="J84" i="10"/>
  <c r="L84" i="10"/>
  <c r="M84" i="10" s="1"/>
  <c r="N84" i="10" s="1"/>
  <c r="H84" i="2"/>
  <c r="F85" i="2"/>
  <c r="G85" i="2" s="1"/>
  <c r="D85" i="2"/>
  <c r="C81" i="3"/>
  <c r="E81" i="3" s="1"/>
  <c r="I86" i="2" l="1"/>
  <c r="L85" i="2"/>
  <c r="M85" i="2" s="1"/>
  <c r="J85" i="2"/>
  <c r="N85" i="2" s="1"/>
  <c r="U86" i="2"/>
  <c r="V85" i="2"/>
  <c r="Z85" i="2" s="1"/>
  <c r="X85" i="2"/>
  <c r="Y85" i="2" s="1"/>
  <c r="Z84" i="10"/>
  <c r="AG84" i="10" s="1"/>
  <c r="AK84" i="10" s="1"/>
  <c r="U86" i="10"/>
  <c r="V85" i="10"/>
  <c r="X85" i="10"/>
  <c r="Y85" i="10" s="1"/>
  <c r="Z85" i="10" s="1"/>
  <c r="AA86" i="10"/>
  <c r="AB85" i="10"/>
  <c r="AD85" i="10"/>
  <c r="AE85" i="10" s="1"/>
  <c r="AF85" i="10" s="1"/>
  <c r="I86" i="10"/>
  <c r="J85" i="10"/>
  <c r="L85" i="10"/>
  <c r="M85" i="10" s="1"/>
  <c r="N85" i="10" s="1"/>
  <c r="O86" i="2"/>
  <c r="P85" i="2"/>
  <c r="T85" i="2" s="1"/>
  <c r="R85" i="2"/>
  <c r="S85" i="2" s="1"/>
  <c r="AA86" i="2"/>
  <c r="AB85" i="2"/>
  <c r="AD85" i="2"/>
  <c r="AE85" i="2" s="1"/>
  <c r="N84" i="2"/>
  <c r="O86" i="10"/>
  <c r="P85" i="10"/>
  <c r="R85" i="10"/>
  <c r="S85" i="10" s="1"/>
  <c r="T85" i="10" s="1"/>
  <c r="C86" i="10"/>
  <c r="D85" i="10"/>
  <c r="F85" i="10"/>
  <c r="G85" i="10" s="1"/>
  <c r="H85" i="10" s="1"/>
  <c r="AG85" i="10" s="1"/>
  <c r="AK85" i="10" s="1"/>
  <c r="AG84" i="2"/>
  <c r="AI84" i="2" s="1"/>
  <c r="H85" i="2"/>
  <c r="F86" i="2"/>
  <c r="G86" i="2" s="1"/>
  <c r="D86" i="2"/>
  <c r="C82" i="3"/>
  <c r="E82" i="3" s="1"/>
  <c r="O87" i="2" l="1"/>
  <c r="R86" i="2"/>
  <c r="S86" i="2" s="1"/>
  <c r="P86" i="2"/>
  <c r="T86" i="2" s="1"/>
  <c r="AA87" i="10"/>
  <c r="AB86" i="10"/>
  <c r="AD86" i="10"/>
  <c r="AE86" i="10" s="1"/>
  <c r="AF86" i="10" s="1"/>
  <c r="U87" i="2"/>
  <c r="X86" i="2"/>
  <c r="Y86" i="2" s="1"/>
  <c r="V86" i="2"/>
  <c r="Z86" i="2" s="1"/>
  <c r="C87" i="10"/>
  <c r="D86" i="10"/>
  <c r="F86" i="10"/>
  <c r="G86" i="10" s="1"/>
  <c r="H86" i="10" s="1"/>
  <c r="AA87" i="2"/>
  <c r="AB86" i="2"/>
  <c r="AD86" i="2"/>
  <c r="AE86" i="2" s="1"/>
  <c r="I87" i="10"/>
  <c r="J86" i="10"/>
  <c r="L86" i="10"/>
  <c r="M86" i="10" s="1"/>
  <c r="N86" i="10" s="1"/>
  <c r="AF85" i="2"/>
  <c r="AG85" i="2"/>
  <c r="AI85" i="2" s="1"/>
  <c r="U87" i="10"/>
  <c r="V86" i="10"/>
  <c r="X86" i="10"/>
  <c r="Y86" i="10" s="1"/>
  <c r="Z86" i="10" s="1"/>
  <c r="O87" i="10"/>
  <c r="P86" i="10"/>
  <c r="R86" i="10"/>
  <c r="S86" i="10" s="1"/>
  <c r="T86" i="10" s="1"/>
  <c r="I87" i="2"/>
  <c r="J86" i="2"/>
  <c r="L86" i="2"/>
  <c r="M86" i="2" s="1"/>
  <c r="H86" i="2"/>
  <c r="F87" i="2"/>
  <c r="G87" i="2" s="1"/>
  <c r="D87" i="2"/>
  <c r="C83" i="3"/>
  <c r="E83" i="3" s="1"/>
  <c r="O88" i="10" l="1"/>
  <c r="P87" i="10"/>
  <c r="R87" i="10"/>
  <c r="S87" i="10" s="1"/>
  <c r="T87" i="10" s="1"/>
  <c r="AG86" i="10"/>
  <c r="AK86" i="10" s="1"/>
  <c r="I88" i="10"/>
  <c r="J87" i="10"/>
  <c r="L87" i="10"/>
  <c r="M87" i="10" s="1"/>
  <c r="N87" i="10" s="1"/>
  <c r="C88" i="10"/>
  <c r="D87" i="10"/>
  <c r="F87" i="10"/>
  <c r="G87" i="10" s="1"/>
  <c r="H87" i="10" s="1"/>
  <c r="AA88" i="10"/>
  <c r="AB87" i="10"/>
  <c r="AD87" i="10"/>
  <c r="AE87" i="10" s="1"/>
  <c r="AF87" i="10" s="1"/>
  <c r="U88" i="10"/>
  <c r="V87" i="10"/>
  <c r="X87" i="10"/>
  <c r="Y87" i="10" s="1"/>
  <c r="Z87" i="10" s="1"/>
  <c r="AF86" i="2"/>
  <c r="AG86" i="2" s="1"/>
  <c r="AI86" i="2" s="1"/>
  <c r="N86" i="2"/>
  <c r="I88" i="2"/>
  <c r="L87" i="2"/>
  <c r="M87" i="2" s="1"/>
  <c r="J87" i="2"/>
  <c r="AA88" i="2"/>
  <c r="AB87" i="2"/>
  <c r="AF87" i="2" s="1"/>
  <c r="AD87" i="2"/>
  <c r="AE87" i="2" s="1"/>
  <c r="U88" i="2"/>
  <c r="X87" i="2"/>
  <c r="Y87" i="2" s="1"/>
  <c r="V87" i="2"/>
  <c r="Z87" i="2" s="1"/>
  <c r="O88" i="2"/>
  <c r="P87" i="2"/>
  <c r="T87" i="2" s="1"/>
  <c r="R87" i="2"/>
  <c r="S87" i="2" s="1"/>
  <c r="H87" i="2"/>
  <c r="D88" i="2"/>
  <c r="F88" i="2"/>
  <c r="G88" i="2" s="1"/>
  <c r="C84" i="3"/>
  <c r="E84" i="3" s="1"/>
  <c r="AA89" i="10" l="1"/>
  <c r="AB88" i="10"/>
  <c r="AD88" i="10"/>
  <c r="AE88" i="10" s="1"/>
  <c r="I89" i="10"/>
  <c r="J88" i="10"/>
  <c r="L88" i="10"/>
  <c r="M88" i="10" s="1"/>
  <c r="AA89" i="2"/>
  <c r="AD88" i="2"/>
  <c r="AE88" i="2" s="1"/>
  <c r="AB88" i="2"/>
  <c r="N87" i="2"/>
  <c r="AG87" i="2" s="1"/>
  <c r="AI87" i="2" s="1"/>
  <c r="O89" i="2"/>
  <c r="R88" i="2"/>
  <c r="S88" i="2" s="1"/>
  <c r="P88" i="2"/>
  <c r="T88" i="2" s="1"/>
  <c r="U89" i="10"/>
  <c r="V88" i="10"/>
  <c r="X88" i="10"/>
  <c r="Y88" i="10" s="1"/>
  <c r="Z88" i="10" s="1"/>
  <c r="C89" i="10"/>
  <c r="D88" i="10"/>
  <c r="F88" i="10"/>
  <c r="G88" i="10" s="1"/>
  <c r="H88" i="10" s="1"/>
  <c r="AG87" i="10"/>
  <c r="AK87" i="10" s="1"/>
  <c r="I89" i="2"/>
  <c r="J88" i="2"/>
  <c r="N88" i="2" s="1"/>
  <c r="L88" i="2"/>
  <c r="M88" i="2" s="1"/>
  <c r="U89" i="2"/>
  <c r="X88" i="2"/>
  <c r="Y88" i="2" s="1"/>
  <c r="V88" i="2"/>
  <c r="O89" i="10"/>
  <c r="P88" i="10"/>
  <c r="R88" i="10"/>
  <c r="S88" i="10" s="1"/>
  <c r="H88" i="2"/>
  <c r="F89" i="2"/>
  <c r="G89" i="2" s="1"/>
  <c r="D89" i="2"/>
  <c r="C85" i="3"/>
  <c r="E85" i="3" s="1"/>
  <c r="U90" i="2" l="1"/>
  <c r="V89" i="2"/>
  <c r="X89" i="2"/>
  <c r="Y89" i="2" s="1"/>
  <c r="AA90" i="2"/>
  <c r="AB89" i="2"/>
  <c r="AD89" i="2"/>
  <c r="AE89" i="2" s="1"/>
  <c r="AA90" i="10"/>
  <c r="AB89" i="10"/>
  <c r="AD89" i="10"/>
  <c r="AE89" i="10" s="1"/>
  <c r="AF89" i="10" s="1"/>
  <c r="T88" i="10"/>
  <c r="AG88" i="10" s="1"/>
  <c r="AK88" i="10" s="1"/>
  <c r="N88" i="10"/>
  <c r="AG88" i="2"/>
  <c r="AI88" i="2" s="1"/>
  <c r="C90" i="10"/>
  <c r="D89" i="10"/>
  <c r="F89" i="10"/>
  <c r="G89" i="10" s="1"/>
  <c r="H89" i="10" s="1"/>
  <c r="O90" i="10"/>
  <c r="P89" i="10"/>
  <c r="R89" i="10"/>
  <c r="S89" i="10" s="1"/>
  <c r="T89" i="10" s="1"/>
  <c r="I90" i="2"/>
  <c r="L89" i="2"/>
  <c r="M89" i="2" s="1"/>
  <c r="J89" i="2"/>
  <c r="N89" i="2" s="1"/>
  <c r="I90" i="10"/>
  <c r="J89" i="10"/>
  <c r="L89" i="10"/>
  <c r="M89" i="10" s="1"/>
  <c r="N89" i="10" s="1"/>
  <c r="Z88" i="2"/>
  <c r="AF88" i="2"/>
  <c r="AF88" i="10"/>
  <c r="O90" i="2"/>
  <c r="P89" i="2"/>
  <c r="R89" i="2"/>
  <c r="S89" i="2" s="1"/>
  <c r="U90" i="10"/>
  <c r="V89" i="10"/>
  <c r="X89" i="10"/>
  <c r="Y89" i="10" s="1"/>
  <c r="Z89" i="10" s="1"/>
  <c r="H89" i="2"/>
  <c r="F90" i="2"/>
  <c r="G90" i="2" s="1"/>
  <c r="D90" i="2"/>
  <c r="C86" i="3"/>
  <c r="E86" i="3" s="1"/>
  <c r="U91" i="2" l="1"/>
  <c r="X90" i="2"/>
  <c r="Y90" i="2" s="1"/>
  <c r="V90" i="2"/>
  <c r="T89" i="2"/>
  <c r="AG89" i="2" s="1"/>
  <c r="AI89" i="2" s="1"/>
  <c r="AF89" i="2"/>
  <c r="I91" i="10"/>
  <c r="J90" i="10"/>
  <c r="L90" i="10"/>
  <c r="M90" i="10" s="1"/>
  <c r="AG89" i="10"/>
  <c r="AK89" i="10" s="1"/>
  <c r="O91" i="2"/>
  <c r="R90" i="2"/>
  <c r="S90" i="2" s="1"/>
  <c r="P90" i="2"/>
  <c r="T90" i="2" s="1"/>
  <c r="O91" i="10"/>
  <c r="P90" i="10"/>
  <c r="R90" i="10"/>
  <c r="S90" i="10" s="1"/>
  <c r="T90" i="10" s="1"/>
  <c r="AA91" i="2"/>
  <c r="AB90" i="2"/>
  <c r="AD90" i="2"/>
  <c r="AE90" i="2" s="1"/>
  <c r="U91" i="10"/>
  <c r="V90" i="10"/>
  <c r="X90" i="10"/>
  <c r="Y90" i="10" s="1"/>
  <c r="Z90" i="10" s="1"/>
  <c r="I91" i="2"/>
  <c r="J90" i="2"/>
  <c r="L90" i="2"/>
  <c r="M90" i="2" s="1"/>
  <c r="C91" i="10"/>
  <c r="D90" i="10"/>
  <c r="F90" i="10"/>
  <c r="G90" i="10" s="1"/>
  <c r="H90" i="10" s="1"/>
  <c r="AA91" i="10"/>
  <c r="AB90" i="10"/>
  <c r="AD90" i="10"/>
  <c r="AE90" i="10" s="1"/>
  <c r="AF90" i="10" s="1"/>
  <c r="Z89" i="2"/>
  <c r="H90" i="2"/>
  <c r="F91" i="2"/>
  <c r="G91" i="2" s="1"/>
  <c r="D91" i="2"/>
  <c r="C87" i="3"/>
  <c r="E87" i="3" s="1"/>
  <c r="I92" i="10" l="1"/>
  <c r="J91" i="10"/>
  <c r="L91" i="10"/>
  <c r="M91" i="10" s="1"/>
  <c r="U92" i="2"/>
  <c r="V91" i="2"/>
  <c r="Z91" i="2" s="1"/>
  <c r="X91" i="2"/>
  <c r="Y91" i="2" s="1"/>
  <c r="N90" i="2"/>
  <c r="AG90" i="2" s="1"/>
  <c r="AI90" i="2" s="1"/>
  <c r="AF90" i="2"/>
  <c r="I92" i="2"/>
  <c r="L91" i="2"/>
  <c r="M91" i="2" s="1"/>
  <c r="J91" i="2"/>
  <c r="N91" i="2" s="1"/>
  <c r="O92" i="2"/>
  <c r="P91" i="2"/>
  <c r="T91" i="2" s="1"/>
  <c r="R91" i="2"/>
  <c r="S91" i="2" s="1"/>
  <c r="N90" i="10"/>
  <c r="AG90" i="10" s="1"/>
  <c r="AK90" i="10" s="1"/>
  <c r="Z90" i="2"/>
  <c r="AA92" i="10"/>
  <c r="AB91" i="10"/>
  <c r="AD91" i="10"/>
  <c r="AE91" i="10" s="1"/>
  <c r="AA92" i="2"/>
  <c r="AD91" i="2"/>
  <c r="AE91" i="2" s="1"/>
  <c r="AB91" i="2"/>
  <c r="C92" i="10"/>
  <c r="D91" i="10"/>
  <c r="F91" i="10"/>
  <c r="G91" i="10" s="1"/>
  <c r="U92" i="10"/>
  <c r="V91" i="10"/>
  <c r="X91" i="10"/>
  <c r="Y91" i="10" s="1"/>
  <c r="O92" i="10"/>
  <c r="P91" i="10"/>
  <c r="R91" i="10"/>
  <c r="S91" i="10" s="1"/>
  <c r="H91" i="2"/>
  <c r="F92" i="2"/>
  <c r="G92" i="2" s="1"/>
  <c r="D92" i="2"/>
  <c r="C88" i="3"/>
  <c r="E88" i="3" s="1"/>
  <c r="O93" i="10" l="1"/>
  <c r="P92" i="10"/>
  <c r="R92" i="10"/>
  <c r="S92" i="10" s="1"/>
  <c r="T92" i="10" s="1"/>
  <c r="C93" i="10"/>
  <c r="D92" i="10"/>
  <c r="F92" i="10"/>
  <c r="G92" i="10" s="1"/>
  <c r="AA93" i="10"/>
  <c r="AB92" i="10"/>
  <c r="AD92" i="10"/>
  <c r="AE92" i="10" s="1"/>
  <c r="AF92" i="10" s="1"/>
  <c r="I93" i="10"/>
  <c r="J92" i="10"/>
  <c r="L92" i="10"/>
  <c r="M92" i="10" s="1"/>
  <c r="Z91" i="10"/>
  <c r="AF91" i="2"/>
  <c r="O93" i="2"/>
  <c r="R92" i="2"/>
  <c r="S92" i="2" s="1"/>
  <c r="P92" i="2"/>
  <c r="T92" i="2" s="1"/>
  <c r="U93" i="10"/>
  <c r="V92" i="10"/>
  <c r="X92" i="10"/>
  <c r="Y92" i="10" s="1"/>
  <c r="Z92" i="10" s="1"/>
  <c r="AA93" i="2"/>
  <c r="AB92" i="2"/>
  <c r="AD92" i="2"/>
  <c r="AE92" i="2" s="1"/>
  <c r="U93" i="2"/>
  <c r="V92" i="2"/>
  <c r="X92" i="2"/>
  <c r="Y92" i="2" s="1"/>
  <c r="T91" i="10"/>
  <c r="H91" i="10"/>
  <c r="AF91" i="10"/>
  <c r="I93" i="2"/>
  <c r="J92" i="2"/>
  <c r="L92" i="2"/>
  <c r="M92" i="2" s="1"/>
  <c r="N91" i="10"/>
  <c r="AG91" i="2"/>
  <c r="AI91" i="2" s="1"/>
  <c r="H92" i="2"/>
  <c r="F93" i="2"/>
  <c r="G93" i="2" s="1"/>
  <c r="D93" i="2"/>
  <c r="C89" i="3"/>
  <c r="E89" i="3" s="1"/>
  <c r="I94" i="2" l="1"/>
  <c r="L93" i="2"/>
  <c r="M93" i="2" s="1"/>
  <c r="J93" i="2"/>
  <c r="U94" i="2"/>
  <c r="V93" i="2"/>
  <c r="Z93" i="2" s="1"/>
  <c r="X93" i="2"/>
  <c r="Y93" i="2" s="1"/>
  <c r="U94" i="10"/>
  <c r="V93" i="10"/>
  <c r="X93" i="10"/>
  <c r="Y93" i="10" s="1"/>
  <c r="N92" i="10"/>
  <c r="H92" i="10"/>
  <c r="AG92" i="10" s="1"/>
  <c r="AK92" i="10" s="1"/>
  <c r="AG91" i="10"/>
  <c r="AK91" i="10" s="1"/>
  <c r="I94" i="10"/>
  <c r="J93" i="10"/>
  <c r="L93" i="10"/>
  <c r="M93" i="10" s="1"/>
  <c r="C94" i="10"/>
  <c r="D93" i="10"/>
  <c r="F93" i="10"/>
  <c r="G93" i="10" s="1"/>
  <c r="AA94" i="2"/>
  <c r="AB93" i="2"/>
  <c r="AF93" i="2" s="1"/>
  <c r="AD93" i="2"/>
  <c r="AE93" i="2" s="1"/>
  <c r="AF92" i="2"/>
  <c r="O94" i="2"/>
  <c r="P93" i="2"/>
  <c r="R93" i="2"/>
  <c r="S93" i="2" s="1"/>
  <c r="N92" i="2"/>
  <c r="Z92" i="2"/>
  <c r="AG92" i="2" s="1"/>
  <c r="AI92" i="2" s="1"/>
  <c r="AA94" i="10"/>
  <c r="AB93" i="10"/>
  <c r="AD93" i="10"/>
  <c r="AE93" i="10" s="1"/>
  <c r="O94" i="10"/>
  <c r="P93" i="10"/>
  <c r="R93" i="10"/>
  <c r="S93" i="10" s="1"/>
  <c r="T93" i="10" s="1"/>
  <c r="H93" i="2"/>
  <c r="F94" i="2"/>
  <c r="G94" i="2" s="1"/>
  <c r="D94" i="2"/>
  <c r="C90" i="3"/>
  <c r="E90" i="3" s="1"/>
  <c r="O95" i="2" l="1"/>
  <c r="R94" i="2"/>
  <c r="S94" i="2" s="1"/>
  <c r="P94" i="2"/>
  <c r="T94" i="2" s="1"/>
  <c r="H93" i="10"/>
  <c r="AG93" i="10" s="1"/>
  <c r="AK93" i="10" s="1"/>
  <c r="AA95" i="10"/>
  <c r="AB94" i="10"/>
  <c r="AD94" i="10"/>
  <c r="AE94" i="10" s="1"/>
  <c r="AF94" i="10" s="1"/>
  <c r="C95" i="10"/>
  <c r="D94" i="10"/>
  <c r="F94" i="10"/>
  <c r="G94" i="10" s="1"/>
  <c r="H94" i="10" s="1"/>
  <c r="U95" i="2"/>
  <c r="X94" i="2"/>
  <c r="Y94" i="2" s="1"/>
  <c r="V94" i="2"/>
  <c r="Z94" i="2" s="1"/>
  <c r="N93" i="10"/>
  <c r="Z93" i="10"/>
  <c r="N93" i="2"/>
  <c r="AG93" i="2" s="1"/>
  <c r="AI93" i="2" s="1"/>
  <c r="O95" i="10"/>
  <c r="P94" i="10"/>
  <c r="R94" i="10"/>
  <c r="S94" i="10" s="1"/>
  <c r="T94" i="10" s="1"/>
  <c r="AF93" i="10"/>
  <c r="T93" i="2"/>
  <c r="AA95" i="2"/>
  <c r="AB94" i="2"/>
  <c r="AF94" i="2" s="1"/>
  <c r="AD94" i="2"/>
  <c r="AE94" i="2" s="1"/>
  <c r="I95" i="10"/>
  <c r="J94" i="10"/>
  <c r="L94" i="10"/>
  <c r="M94" i="10" s="1"/>
  <c r="N94" i="10" s="1"/>
  <c r="U95" i="10"/>
  <c r="V94" i="10"/>
  <c r="X94" i="10"/>
  <c r="Y94" i="10" s="1"/>
  <c r="I95" i="2"/>
  <c r="L94" i="2"/>
  <c r="M94" i="2" s="1"/>
  <c r="J94" i="2"/>
  <c r="N94" i="2" s="1"/>
  <c r="H94" i="2"/>
  <c r="AG94" i="2" s="1"/>
  <c r="AI94" i="2" s="1"/>
  <c r="D95" i="2"/>
  <c r="F95" i="2"/>
  <c r="G95" i="2" s="1"/>
  <c r="C91" i="3"/>
  <c r="E91" i="3" s="1"/>
  <c r="O96" i="10" l="1"/>
  <c r="P95" i="10"/>
  <c r="R95" i="10"/>
  <c r="S95" i="10" s="1"/>
  <c r="U96" i="2"/>
  <c r="V95" i="2"/>
  <c r="Z95" i="2" s="1"/>
  <c r="X95" i="2"/>
  <c r="Y95" i="2" s="1"/>
  <c r="AA96" i="10"/>
  <c r="AB95" i="10"/>
  <c r="AD95" i="10"/>
  <c r="AE95" i="10" s="1"/>
  <c r="C96" i="10"/>
  <c r="D95" i="10"/>
  <c r="F95" i="10"/>
  <c r="G95" i="10" s="1"/>
  <c r="U96" i="10"/>
  <c r="V95" i="10"/>
  <c r="X95" i="10"/>
  <c r="Y95" i="10" s="1"/>
  <c r="Z95" i="10" s="1"/>
  <c r="AA96" i="2"/>
  <c r="AB95" i="2"/>
  <c r="AF95" i="2" s="1"/>
  <c r="AD95" i="2"/>
  <c r="AE95" i="2" s="1"/>
  <c r="I96" i="2"/>
  <c r="L95" i="2"/>
  <c r="M95" i="2" s="1"/>
  <c r="J95" i="2"/>
  <c r="N95" i="2" s="1"/>
  <c r="I96" i="10"/>
  <c r="J95" i="10"/>
  <c r="L95" i="10"/>
  <c r="M95" i="10" s="1"/>
  <c r="O96" i="2"/>
  <c r="P95" i="2"/>
  <c r="R95" i="2"/>
  <c r="S95" i="2" s="1"/>
  <c r="Z94" i="10"/>
  <c r="AG94" i="10" s="1"/>
  <c r="AK94" i="10" s="1"/>
  <c r="H95" i="2"/>
  <c r="D96" i="2"/>
  <c r="F96" i="2"/>
  <c r="G96" i="2" s="1"/>
  <c r="C92" i="3"/>
  <c r="E92" i="3" s="1"/>
  <c r="AA97" i="2" l="1"/>
  <c r="AB96" i="2"/>
  <c r="AD96" i="2"/>
  <c r="AE96" i="2" s="1"/>
  <c r="U97" i="2"/>
  <c r="X96" i="2"/>
  <c r="Y96" i="2" s="1"/>
  <c r="V96" i="2"/>
  <c r="T95" i="2"/>
  <c r="AG95" i="2" s="1"/>
  <c r="AI95" i="2" s="1"/>
  <c r="AF95" i="10"/>
  <c r="T95" i="10"/>
  <c r="I97" i="10"/>
  <c r="J96" i="10"/>
  <c r="L96" i="10"/>
  <c r="M96" i="10" s="1"/>
  <c r="U97" i="10"/>
  <c r="V96" i="10"/>
  <c r="X96" i="10"/>
  <c r="Y96" i="10" s="1"/>
  <c r="Z96" i="10" s="1"/>
  <c r="C97" i="10"/>
  <c r="D96" i="10"/>
  <c r="F96" i="10"/>
  <c r="G96" i="10" s="1"/>
  <c r="O97" i="2"/>
  <c r="R96" i="2"/>
  <c r="S96" i="2" s="1"/>
  <c r="P96" i="2"/>
  <c r="T96" i="2" s="1"/>
  <c r="I97" i="2"/>
  <c r="J96" i="2"/>
  <c r="N96" i="2" s="1"/>
  <c r="L96" i="2"/>
  <c r="M96" i="2" s="1"/>
  <c r="N95" i="10"/>
  <c r="H95" i="10"/>
  <c r="AG95" i="10" s="1"/>
  <c r="AK95" i="10" s="1"/>
  <c r="AA97" i="10"/>
  <c r="AB96" i="10"/>
  <c r="AD96" i="10"/>
  <c r="AE96" i="10" s="1"/>
  <c r="AF96" i="10" s="1"/>
  <c r="O97" i="10"/>
  <c r="P96" i="10"/>
  <c r="R96" i="10"/>
  <c r="S96" i="10" s="1"/>
  <c r="T96" i="10" s="1"/>
  <c r="H96" i="2"/>
  <c r="F97" i="2"/>
  <c r="G97" i="2" s="1"/>
  <c r="D97" i="2"/>
  <c r="C93" i="3"/>
  <c r="E93" i="3" s="1"/>
  <c r="I98" i="2" l="1"/>
  <c r="L97" i="2"/>
  <c r="M97" i="2" s="1"/>
  <c r="J97" i="2"/>
  <c r="N97" i="2" s="1"/>
  <c r="AA98" i="10"/>
  <c r="AB97" i="10"/>
  <c r="AD97" i="10"/>
  <c r="AE97" i="10" s="1"/>
  <c r="C98" i="10"/>
  <c r="D97" i="10"/>
  <c r="F97" i="10"/>
  <c r="G97" i="10" s="1"/>
  <c r="H97" i="10" s="1"/>
  <c r="AF96" i="2"/>
  <c r="I98" i="10"/>
  <c r="J97" i="10"/>
  <c r="L97" i="10"/>
  <c r="M97" i="10" s="1"/>
  <c r="O98" i="2"/>
  <c r="P97" i="2"/>
  <c r="R97" i="2"/>
  <c r="S97" i="2" s="1"/>
  <c r="U98" i="10"/>
  <c r="V97" i="10"/>
  <c r="X97" i="10"/>
  <c r="Y97" i="10" s="1"/>
  <c r="Z97" i="10" s="1"/>
  <c r="AA98" i="2"/>
  <c r="AB97" i="2"/>
  <c r="AD97" i="2"/>
  <c r="AE97" i="2" s="1"/>
  <c r="U98" i="2"/>
  <c r="V97" i="2"/>
  <c r="X97" i="2"/>
  <c r="Y97" i="2" s="1"/>
  <c r="O98" i="10"/>
  <c r="P97" i="10"/>
  <c r="R97" i="10"/>
  <c r="S97" i="10" s="1"/>
  <c r="T97" i="10" s="1"/>
  <c r="H96" i="10"/>
  <c r="AG96" i="10" s="1"/>
  <c r="AK96" i="10" s="1"/>
  <c r="N96" i="10"/>
  <c r="Z96" i="2"/>
  <c r="AG96" i="2" s="1"/>
  <c r="AI96" i="2" s="1"/>
  <c r="H97" i="2"/>
  <c r="F98" i="2"/>
  <c r="G98" i="2" s="1"/>
  <c r="D98" i="2"/>
  <c r="C94" i="3"/>
  <c r="E94" i="3" s="1"/>
  <c r="U99" i="2" l="1"/>
  <c r="X98" i="2"/>
  <c r="Y98" i="2" s="1"/>
  <c r="V98" i="2"/>
  <c r="Z98" i="2" s="1"/>
  <c r="U99" i="10"/>
  <c r="V98" i="10"/>
  <c r="X98" i="10"/>
  <c r="Y98" i="10" s="1"/>
  <c r="AF97" i="10"/>
  <c r="T97" i="2"/>
  <c r="AA99" i="10"/>
  <c r="AB98" i="10"/>
  <c r="AD98" i="10"/>
  <c r="AE98" i="10" s="1"/>
  <c r="AF98" i="10" s="1"/>
  <c r="O99" i="2"/>
  <c r="R98" i="2"/>
  <c r="S98" i="2" s="1"/>
  <c r="P98" i="2"/>
  <c r="O99" i="10"/>
  <c r="P98" i="10"/>
  <c r="R98" i="10"/>
  <c r="S98" i="10" s="1"/>
  <c r="T98" i="10" s="1"/>
  <c r="I99" i="10"/>
  <c r="J98" i="10"/>
  <c r="L98" i="10"/>
  <c r="M98" i="10" s="1"/>
  <c r="N98" i="10" s="1"/>
  <c r="AF97" i="2"/>
  <c r="AG97" i="2"/>
  <c r="AI97" i="2" s="1"/>
  <c r="AA99" i="2"/>
  <c r="AB98" i="2"/>
  <c r="AF98" i="2" s="1"/>
  <c r="AD98" i="2"/>
  <c r="AE98" i="2" s="1"/>
  <c r="Z97" i="2"/>
  <c r="N97" i="10"/>
  <c r="AG97" i="10" s="1"/>
  <c r="AK97" i="10" s="1"/>
  <c r="C99" i="10"/>
  <c r="D98" i="10"/>
  <c r="F98" i="10"/>
  <c r="G98" i="10" s="1"/>
  <c r="H98" i="10" s="1"/>
  <c r="I99" i="2"/>
  <c r="J98" i="2"/>
  <c r="L98" i="2"/>
  <c r="M98" i="2" s="1"/>
  <c r="H98" i="2"/>
  <c r="F99" i="2"/>
  <c r="G99" i="2" s="1"/>
  <c r="D99" i="2"/>
  <c r="C95" i="3"/>
  <c r="E95" i="3" s="1"/>
  <c r="I100" i="10" l="1"/>
  <c r="J99" i="10"/>
  <c r="L99" i="10"/>
  <c r="M99" i="10" s="1"/>
  <c r="N99" i="10" s="1"/>
  <c r="AA100" i="2"/>
  <c r="AB99" i="2"/>
  <c r="AD99" i="2"/>
  <c r="AE99" i="2" s="1"/>
  <c r="O100" i="2"/>
  <c r="P99" i="2"/>
  <c r="R99" i="2"/>
  <c r="S99" i="2" s="1"/>
  <c r="Z98" i="10"/>
  <c r="O100" i="10"/>
  <c r="P99" i="10"/>
  <c r="R99" i="10"/>
  <c r="S99" i="10" s="1"/>
  <c r="U100" i="10"/>
  <c r="V99" i="10"/>
  <c r="X99" i="10"/>
  <c r="Y99" i="10" s="1"/>
  <c r="Z99" i="10" s="1"/>
  <c r="U100" i="2"/>
  <c r="V99" i="2"/>
  <c r="Z99" i="2" s="1"/>
  <c r="X99" i="2"/>
  <c r="Y99" i="2" s="1"/>
  <c r="N98" i="2"/>
  <c r="AG98" i="2" s="1"/>
  <c r="AI98" i="2" s="1"/>
  <c r="AA100" i="10"/>
  <c r="AB99" i="10"/>
  <c r="AD99" i="10"/>
  <c r="AE99" i="10" s="1"/>
  <c r="AF99" i="10" s="1"/>
  <c r="AG98" i="10"/>
  <c r="AK98" i="10" s="1"/>
  <c r="C100" i="10"/>
  <c r="D99" i="10"/>
  <c r="F99" i="10"/>
  <c r="G99" i="10" s="1"/>
  <c r="H99" i="10" s="1"/>
  <c r="I100" i="2"/>
  <c r="J99" i="2"/>
  <c r="N99" i="2" s="1"/>
  <c r="L99" i="2"/>
  <c r="M99" i="2" s="1"/>
  <c r="T98" i="2"/>
  <c r="H99" i="2"/>
  <c r="F100" i="2"/>
  <c r="G100" i="2" s="1"/>
  <c r="D100" i="2"/>
  <c r="C96" i="3"/>
  <c r="E96" i="3" s="1"/>
  <c r="O101" i="10" l="1"/>
  <c r="P100" i="10"/>
  <c r="R100" i="10"/>
  <c r="S100" i="10" s="1"/>
  <c r="T100" i="10" s="1"/>
  <c r="AF99" i="2"/>
  <c r="AA101" i="2"/>
  <c r="AB100" i="2"/>
  <c r="AF100" i="2" s="1"/>
  <c r="AD100" i="2"/>
  <c r="AE100" i="2" s="1"/>
  <c r="I101" i="2"/>
  <c r="L100" i="2"/>
  <c r="M100" i="2" s="1"/>
  <c r="J100" i="2"/>
  <c r="N100" i="2" s="1"/>
  <c r="AA101" i="10"/>
  <c r="AB100" i="10"/>
  <c r="AD100" i="10"/>
  <c r="AE100" i="10" s="1"/>
  <c r="AF100" i="10" s="1"/>
  <c r="C101" i="10"/>
  <c r="D100" i="10"/>
  <c r="F100" i="10"/>
  <c r="G100" i="10" s="1"/>
  <c r="H100" i="10" s="1"/>
  <c r="U101" i="10"/>
  <c r="V100" i="10"/>
  <c r="X100" i="10"/>
  <c r="Y100" i="10" s="1"/>
  <c r="Z100" i="10" s="1"/>
  <c r="T99" i="2"/>
  <c r="AG99" i="2" s="1"/>
  <c r="AI99" i="2" s="1"/>
  <c r="U101" i="2"/>
  <c r="X100" i="2"/>
  <c r="Y100" i="2" s="1"/>
  <c r="V100" i="2"/>
  <c r="T99" i="10"/>
  <c r="AG99" i="10" s="1"/>
  <c r="AK99" i="10" s="1"/>
  <c r="O101" i="2"/>
  <c r="R100" i="2"/>
  <c r="S100" i="2" s="1"/>
  <c r="P100" i="2"/>
  <c r="T100" i="2" s="1"/>
  <c r="I101" i="10"/>
  <c r="J100" i="10"/>
  <c r="L100" i="10"/>
  <c r="M100" i="10" s="1"/>
  <c r="H100" i="2"/>
  <c r="F101" i="2"/>
  <c r="G101" i="2" s="1"/>
  <c r="D101" i="2"/>
  <c r="C97" i="3"/>
  <c r="E97" i="3" s="1"/>
  <c r="AA102" i="10" l="1"/>
  <c r="AB101" i="10"/>
  <c r="AD101" i="10"/>
  <c r="AE101" i="10" s="1"/>
  <c r="AF101" i="10" s="1"/>
  <c r="AA102" i="2"/>
  <c r="AB101" i="2"/>
  <c r="AF101" i="2" s="1"/>
  <c r="AD101" i="2"/>
  <c r="AE101" i="2" s="1"/>
  <c r="C102" i="10"/>
  <c r="D101" i="10"/>
  <c r="F101" i="10"/>
  <c r="G101" i="10" s="1"/>
  <c r="H101" i="10" s="1"/>
  <c r="AG100" i="2"/>
  <c r="AI100" i="2" s="1"/>
  <c r="I102" i="2"/>
  <c r="L101" i="2"/>
  <c r="M101" i="2" s="1"/>
  <c r="J101" i="2"/>
  <c r="I102" i="10"/>
  <c r="J101" i="10"/>
  <c r="L101" i="10"/>
  <c r="M101" i="10" s="1"/>
  <c r="N101" i="10" s="1"/>
  <c r="N100" i="10"/>
  <c r="AG100" i="10" s="1"/>
  <c r="AK100" i="10" s="1"/>
  <c r="U102" i="2"/>
  <c r="X101" i="2"/>
  <c r="Y101" i="2" s="1"/>
  <c r="V101" i="2"/>
  <c r="Z101" i="2" s="1"/>
  <c r="O102" i="2"/>
  <c r="P101" i="2"/>
  <c r="R101" i="2"/>
  <c r="S101" i="2" s="1"/>
  <c r="Z100" i="2"/>
  <c r="U102" i="10"/>
  <c r="V101" i="10"/>
  <c r="X101" i="10"/>
  <c r="Y101" i="10" s="1"/>
  <c r="Z101" i="10" s="1"/>
  <c r="O102" i="10"/>
  <c r="P101" i="10"/>
  <c r="R101" i="10"/>
  <c r="S101" i="10" s="1"/>
  <c r="H101" i="2"/>
  <c r="F102" i="2"/>
  <c r="G102" i="2" s="1"/>
  <c r="D102" i="2"/>
  <c r="C98" i="3"/>
  <c r="E98" i="3" s="1"/>
  <c r="I103" i="2" l="1"/>
  <c r="J102" i="2"/>
  <c r="L102" i="2"/>
  <c r="M102" i="2" s="1"/>
  <c r="O103" i="2"/>
  <c r="P102" i="2"/>
  <c r="T102" i="2" s="1"/>
  <c r="R102" i="2"/>
  <c r="S102" i="2" s="1"/>
  <c r="AA103" i="2"/>
  <c r="AB102" i="2"/>
  <c r="AD102" i="2"/>
  <c r="AE102" i="2" s="1"/>
  <c r="O103" i="10"/>
  <c r="P102" i="10"/>
  <c r="R102" i="10"/>
  <c r="S102" i="10" s="1"/>
  <c r="T102" i="10" s="1"/>
  <c r="I103" i="10"/>
  <c r="J102" i="10"/>
  <c r="L102" i="10"/>
  <c r="M102" i="10" s="1"/>
  <c r="N102" i="10" s="1"/>
  <c r="T101" i="2"/>
  <c r="AG101" i="2"/>
  <c r="AI101" i="2" s="1"/>
  <c r="U103" i="10"/>
  <c r="V102" i="10"/>
  <c r="X102" i="10"/>
  <c r="Y102" i="10" s="1"/>
  <c r="Z102" i="10" s="1"/>
  <c r="N101" i="2"/>
  <c r="T101" i="10"/>
  <c r="AG101" i="10" s="1"/>
  <c r="AK101" i="10" s="1"/>
  <c r="U103" i="2"/>
  <c r="X102" i="2"/>
  <c r="Y102" i="2" s="1"/>
  <c r="V102" i="2"/>
  <c r="C103" i="10"/>
  <c r="D102" i="10"/>
  <c r="F102" i="10"/>
  <c r="G102" i="10" s="1"/>
  <c r="H102" i="10" s="1"/>
  <c r="AA103" i="10"/>
  <c r="AB102" i="10"/>
  <c r="AD102" i="10"/>
  <c r="AE102" i="10" s="1"/>
  <c r="H102" i="2"/>
  <c r="F103" i="2"/>
  <c r="G103" i="2" s="1"/>
  <c r="D103" i="2"/>
  <c r="C99" i="3"/>
  <c r="E99" i="3" s="1"/>
  <c r="O104" i="10" l="1"/>
  <c r="P103" i="10"/>
  <c r="R103" i="10"/>
  <c r="S103" i="10" s="1"/>
  <c r="T103" i="10" s="1"/>
  <c r="O104" i="2"/>
  <c r="P103" i="2"/>
  <c r="T103" i="2" s="1"/>
  <c r="R103" i="2"/>
  <c r="S103" i="2" s="1"/>
  <c r="U104" i="2"/>
  <c r="V103" i="2"/>
  <c r="X103" i="2"/>
  <c r="Y103" i="2" s="1"/>
  <c r="C104" i="10"/>
  <c r="D103" i="10"/>
  <c r="F103" i="10"/>
  <c r="G103" i="10" s="1"/>
  <c r="H103" i="10" s="1"/>
  <c r="AF102" i="10"/>
  <c r="AG102" i="10" s="1"/>
  <c r="AK102" i="10" s="1"/>
  <c r="Z102" i="2"/>
  <c r="AF102" i="2"/>
  <c r="N102" i="2"/>
  <c r="AG102" i="2" s="1"/>
  <c r="AI102" i="2" s="1"/>
  <c r="AA104" i="10"/>
  <c r="AB103" i="10"/>
  <c r="AD103" i="10"/>
  <c r="AE103" i="10" s="1"/>
  <c r="U104" i="10"/>
  <c r="V103" i="10"/>
  <c r="X103" i="10"/>
  <c r="Y103" i="10" s="1"/>
  <c r="Z103" i="10" s="1"/>
  <c r="I104" i="10"/>
  <c r="J103" i="10"/>
  <c r="L103" i="10"/>
  <c r="M103" i="10" s="1"/>
  <c r="AA104" i="2"/>
  <c r="AB103" i="2"/>
  <c r="AD103" i="2"/>
  <c r="AE103" i="2" s="1"/>
  <c r="I104" i="2"/>
  <c r="L103" i="2"/>
  <c r="M103" i="2" s="1"/>
  <c r="J103" i="2"/>
  <c r="H103" i="2"/>
  <c r="D104" i="2"/>
  <c r="F104" i="2"/>
  <c r="G104" i="2" s="1"/>
  <c r="C100" i="3"/>
  <c r="E100" i="3" s="1"/>
  <c r="C105" i="10" l="1"/>
  <c r="D104" i="10"/>
  <c r="F104" i="10"/>
  <c r="G104" i="10" s="1"/>
  <c r="H104" i="10" s="1"/>
  <c r="O105" i="2"/>
  <c r="R104" i="2"/>
  <c r="S104" i="2" s="1"/>
  <c r="P104" i="2"/>
  <c r="T104" i="2" s="1"/>
  <c r="U105" i="10"/>
  <c r="V104" i="10"/>
  <c r="X104" i="10"/>
  <c r="Y104" i="10" s="1"/>
  <c r="Z104" i="10" s="1"/>
  <c r="Z103" i="2"/>
  <c r="AA105" i="2"/>
  <c r="AB104" i="2"/>
  <c r="AF104" i="2" s="1"/>
  <c r="AD104" i="2"/>
  <c r="AE104" i="2" s="1"/>
  <c r="N103" i="2"/>
  <c r="N103" i="10"/>
  <c r="AG103" i="10" s="1"/>
  <c r="AK103" i="10" s="1"/>
  <c r="AF103" i="10"/>
  <c r="U105" i="2"/>
  <c r="X104" i="2"/>
  <c r="Y104" i="2" s="1"/>
  <c r="V104" i="2"/>
  <c r="O105" i="10"/>
  <c r="P104" i="10"/>
  <c r="R104" i="10"/>
  <c r="S104" i="10" s="1"/>
  <c r="T104" i="10" s="1"/>
  <c r="AF103" i="2"/>
  <c r="AG103" i="2" s="1"/>
  <c r="AI103" i="2" s="1"/>
  <c r="I105" i="2"/>
  <c r="J104" i="2"/>
  <c r="L104" i="2"/>
  <c r="M104" i="2" s="1"/>
  <c r="I105" i="10"/>
  <c r="J104" i="10"/>
  <c r="L104" i="10"/>
  <c r="M104" i="10" s="1"/>
  <c r="AA105" i="10"/>
  <c r="AB104" i="10"/>
  <c r="AD104" i="10"/>
  <c r="AE104" i="10" s="1"/>
  <c r="AF104" i="10" s="1"/>
  <c r="H104" i="2"/>
  <c r="F105" i="2"/>
  <c r="G105" i="2" s="1"/>
  <c r="D105" i="2"/>
  <c r="C101" i="3"/>
  <c r="E101" i="3" s="1"/>
  <c r="U106" i="2" l="1"/>
  <c r="V105" i="2"/>
  <c r="X105" i="2"/>
  <c r="Y105" i="2" s="1"/>
  <c r="AA106" i="2"/>
  <c r="AB105" i="2"/>
  <c r="AD105" i="2"/>
  <c r="AE105" i="2" s="1"/>
  <c r="O106" i="2"/>
  <c r="R105" i="2"/>
  <c r="S105" i="2" s="1"/>
  <c r="P105" i="2"/>
  <c r="T105" i="2" s="1"/>
  <c r="I106" i="10"/>
  <c r="J105" i="10"/>
  <c r="L105" i="10"/>
  <c r="M105" i="10" s="1"/>
  <c r="N105" i="10" s="1"/>
  <c r="N104" i="2"/>
  <c r="O106" i="10"/>
  <c r="P105" i="10"/>
  <c r="R105" i="10"/>
  <c r="S105" i="10" s="1"/>
  <c r="T105" i="10" s="1"/>
  <c r="AA106" i="10"/>
  <c r="AB105" i="10"/>
  <c r="AD105" i="10"/>
  <c r="AE105" i="10" s="1"/>
  <c r="I106" i="2"/>
  <c r="L105" i="2"/>
  <c r="M105" i="2" s="1"/>
  <c r="J105" i="2"/>
  <c r="N104" i="10"/>
  <c r="AG104" i="10" s="1"/>
  <c r="AK104" i="10" s="1"/>
  <c r="Z104" i="2"/>
  <c r="AG104" i="2" s="1"/>
  <c r="AI104" i="2" s="1"/>
  <c r="U106" i="10"/>
  <c r="V105" i="10"/>
  <c r="X105" i="10"/>
  <c r="Y105" i="10" s="1"/>
  <c r="Z105" i="10" s="1"/>
  <c r="C106" i="10"/>
  <c r="D105" i="10"/>
  <c r="F105" i="10"/>
  <c r="G105" i="10" s="1"/>
  <c r="H105" i="2"/>
  <c r="F106" i="2"/>
  <c r="G106" i="2" s="1"/>
  <c r="D106" i="2"/>
  <c r="C102" i="3"/>
  <c r="E102" i="3" s="1"/>
  <c r="N105" i="2" l="1"/>
  <c r="AF105" i="2"/>
  <c r="I107" i="10"/>
  <c r="J106" i="10"/>
  <c r="L106" i="10"/>
  <c r="M106" i="10" s="1"/>
  <c r="N106" i="10" s="1"/>
  <c r="AA107" i="2"/>
  <c r="AD106" i="2"/>
  <c r="AE106" i="2" s="1"/>
  <c r="AB106" i="2"/>
  <c r="I107" i="2"/>
  <c r="J106" i="2"/>
  <c r="L106" i="2"/>
  <c r="M106" i="2" s="1"/>
  <c r="AA107" i="10"/>
  <c r="AB106" i="10"/>
  <c r="AD106" i="10"/>
  <c r="AE106" i="10" s="1"/>
  <c r="AF106" i="10" s="1"/>
  <c r="U107" i="10"/>
  <c r="V106" i="10"/>
  <c r="X106" i="10"/>
  <c r="Y106" i="10" s="1"/>
  <c r="Z106" i="10" s="1"/>
  <c r="AF105" i="10"/>
  <c r="O107" i="10"/>
  <c r="P106" i="10"/>
  <c r="R106" i="10"/>
  <c r="S106" i="10" s="1"/>
  <c r="T106" i="10" s="1"/>
  <c r="Z105" i="2"/>
  <c r="AG105" i="2" s="1"/>
  <c r="AI105" i="2" s="1"/>
  <c r="C107" i="10"/>
  <c r="D106" i="10"/>
  <c r="F106" i="10"/>
  <c r="G106" i="10" s="1"/>
  <c r="H106" i="10" s="1"/>
  <c r="H105" i="10"/>
  <c r="AG105" i="10" s="1"/>
  <c r="AK105" i="10" s="1"/>
  <c r="O107" i="2"/>
  <c r="R106" i="2"/>
  <c r="S106" i="2" s="1"/>
  <c r="P106" i="2"/>
  <c r="T106" i="2" s="1"/>
  <c r="U107" i="2"/>
  <c r="X106" i="2"/>
  <c r="Y106" i="2" s="1"/>
  <c r="V106" i="2"/>
  <c r="Z106" i="2" s="1"/>
  <c r="H106" i="2"/>
  <c r="F107" i="2"/>
  <c r="G107" i="2" s="1"/>
  <c r="D107" i="2"/>
  <c r="C103" i="3"/>
  <c r="E103" i="3" s="1"/>
  <c r="AA108" i="2" l="1"/>
  <c r="AD107" i="2"/>
  <c r="AE107" i="2" s="1"/>
  <c r="AB107" i="2"/>
  <c r="AF107" i="2" s="1"/>
  <c r="N106" i="2"/>
  <c r="C108" i="10"/>
  <c r="D107" i="10"/>
  <c r="F107" i="10"/>
  <c r="G107" i="10" s="1"/>
  <c r="U108" i="10"/>
  <c r="V107" i="10"/>
  <c r="X107" i="10"/>
  <c r="Y107" i="10" s="1"/>
  <c r="Z107" i="10" s="1"/>
  <c r="I108" i="2"/>
  <c r="J107" i="2"/>
  <c r="N107" i="2" s="1"/>
  <c r="L107" i="2"/>
  <c r="M107" i="2" s="1"/>
  <c r="O108" i="2"/>
  <c r="P107" i="2"/>
  <c r="R107" i="2"/>
  <c r="S107" i="2" s="1"/>
  <c r="I108" i="10"/>
  <c r="J107" i="10"/>
  <c r="L107" i="10"/>
  <c r="M107" i="10" s="1"/>
  <c r="AG106" i="10"/>
  <c r="AK106" i="10" s="1"/>
  <c r="O108" i="10"/>
  <c r="P107" i="10"/>
  <c r="R107" i="10"/>
  <c r="S107" i="10" s="1"/>
  <c r="T107" i="10" s="1"/>
  <c r="AF106" i="2"/>
  <c r="AG106" i="2" s="1"/>
  <c r="AI106" i="2" s="1"/>
  <c r="U108" i="2"/>
  <c r="V107" i="2"/>
  <c r="X107" i="2"/>
  <c r="Y107" i="2" s="1"/>
  <c r="AA108" i="10"/>
  <c r="AB107" i="10"/>
  <c r="AD107" i="10"/>
  <c r="AE107" i="10" s="1"/>
  <c r="AF107" i="10" s="1"/>
  <c r="H107" i="2"/>
  <c r="F108" i="2"/>
  <c r="G108" i="2" s="1"/>
  <c r="D108" i="2"/>
  <c r="C104" i="3"/>
  <c r="E104" i="3" s="1"/>
  <c r="I109" i="10" l="1"/>
  <c r="J108" i="10"/>
  <c r="L108" i="10"/>
  <c r="M108" i="10" s="1"/>
  <c r="N108" i="10" s="1"/>
  <c r="I109" i="2"/>
  <c r="J108" i="2"/>
  <c r="L108" i="2"/>
  <c r="M108" i="2" s="1"/>
  <c r="C109" i="10"/>
  <c r="D108" i="10"/>
  <c r="F108" i="10"/>
  <c r="G108" i="10" s="1"/>
  <c r="H108" i="10" s="1"/>
  <c r="AA109" i="10"/>
  <c r="AB108" i="10"/>
  <c r="AD108" i="10"/>
  <c r="AE108" i="10" s="1"/>
  <c r="AF108" i="10" s="1"/>
  <c r="O109" i="10"/>
  <c r="P108" i="10"/>
  <c r="R108" i="10"/>
  <c r="S108" i="10" s="1"/>
  <c r="T108" i="10" s="1"/>
  <c r="T107" i="2"/>
  <c r="O109" i="2"/>
  <c r="R108" i="2"/>
  <c r="S108" i="2" s="1"/>
  <c r="P108" i="2"/>
  <c r="U109" i="10"/>
  <c r="V108" i="10"/>
  <c r="X108" i="10"/>
  <c r="Y108" i="10" s="1"/>
  <c r="Z108" i="10" s="1"/>
  <c r="Z107" i="2"/>
  <c r="AG107" i="2" s="1"/>
  <c r="AI107" i="2" s="1"/>
  <c r="U109" i="2"/>
  <c r="X108" i="2"/>
  <c r="Y108" i="2" s="1"/>
  <c r="V108" i="2"/>
  <c r="Z108" i="2" s="1"/>
  <c r="N107" i="10"/>
  <c r="H107" i="10"/>
  <c r="AG107" i="10" s="1"/>
  <c r="AK107" i="10" s="1"/>
  <c r="AA109" i="2"/>
  <c r="AD108" i="2"/>
  <c r="AE108" i="2" s="1"/>
  <c r="AB108" i="2"/>
  <c r="H108" i="2"/>
  <c r="F109" i="2"/>
  <c r="G109" i="2" s="1"/>
  <c r="D109" i="2"/>
  <c r="C105" i="3"/>
  <c r="E105" i="3" s="1"/>
  <c r="O110" i="2" l="1"/>
  <c r="P109" i="2"/>
  <c r="T109" i="2" s="1"/>
  <c r="R109" i="2"/>
  <c r="S109" i="2" s="1"/>
  <c r="N108" i="2"/>
  <c r="AA110" i="10"/>
  <c r="AB109" i="10"/>
  <c r="AD109" i="10"/>
  <c r="AE109" i="10" s="1"/>
  <c r="I110" i="2"/>
  <c r="J109" i="2"/>
  <c r="L109" i="2"/>
  <c r="M109" i="2" s="1"/>
  <c r="AA110" i="2"/>
  <c r="AB109" i="2"/>
  <c r="AF109" i="2" s="1"/>
  <c r="AD109" i="2"/>
  <c r="AE109" i="2" s="1"/>
  <c r="U110" i="10"/>
  <c r="V109" i="10"/>
  <c r="X109" i="10"/>
  <c r="Y109" i="10" s="1"/>
  <c r="Z109" i="10" s="1"/>
  <c r="AG108" i="10"/>
  <c r="AK108" i="10" s="1"/>
  <c r="AF108" i="2"/>
  <c r="T108" i="2"/>
  <c r="AG108" i="2" s="1"/>
  <c r="AI108" i="2" s="1"/>
  <c r="U110" i="2"/>
  <c r="X109" i="2"/>
  <c r="Y109" i="2" s="1"/>
  <c r="V109" i="2"/>
  <c r="Z109" i="2" s="1"/>
  <c r="O110" i="10"/>
  <c r="P109" i="10"/>
  <c r="R109" i="10"/>
  <c r="S109" i="10" s="1"/>
  <c r="T109" i="10" s="1"/>
  <c r="C110" i="10"/>
  <c r="D109" i="10"/>
  <c r="F109" i="10"/>
  <c r="G109" i="10" s="1"/>
  <c r="H109" i="10" s="1"/>
  <c r="I110" i="10"/>
  <c r="J109" i="10"/>
  <c r="L109" i="10"/>
  <c r="M109" i="10" s="1"/>
  <c r="N109" i="10" s="1"/>
  <c r="H109" i="2"/>
  <c r="D110" i="2"/>
  <c r="F110" i="2"/>
  <c r="G110" i="2" s="1"/>
  <c r="C106" i="3"/>
  <c r="E106" i="3" s="1"/>
  <c r="O111" i="10" l="1"/>
  <c r="P110" i="10"/>
  <c r="R110" i="10"/>
  <c r="S110" i="10" s="1"/>
  <c r="AA111" i="2"/>
  <c r="AD110" i="2"/>
  <c r="AE110" i="2" s="1"/>
  <c r="AB110" i="2"/>
  <c r="AA111" i="10"/>
  <c r="AB110" i="10"/>
  <c r="AD110" i="10"/>
  <c r="AE110" i="10" s="1"/>
  <c r="AF110" i="10" s="1"/>
  <c r="C111" i="10"/>
  <c r="D110" i="10"/>
  <c r="F110" i="10"/>
  <c r="G110" i="10" s="1"/>
  <c r="U111" i="2"/>
  <c r="X110" i="2"/>
  <c r="Y110" i="2" s="1"/>
  <c r="V110" i="2"/>
  <c r="Z110" i="2" s="1"/>
  <c r="U111" i="10"/>
  <c r="V110" i="10"/>
  <c r="X110" i="10"/>
  <c r="Y110" i="10" s="1"/>
  <c r="N109" i="2"/>
  <c r="AG109" i="2" s="1"/>
  <c r="AI109" i="2" s="1"/>
  <c r="I111" i="2"/>
  <c r="J110" i="2"/>
  <c r="L110" i="2"/>
  <c r="M110" i="2" s="1"/>
  <c r="I111" i="10"/>
  <c r="J110" i="10"/>
  <c r="L110" i="10"/>
  <c r="M110" i="10" s="1"/>
  <c r="N110" i="10" s="1"/>
  <c r="AF109" i="10"/>
  <c r="AG109" i="10" s="1"/>
  <c r="AK109" i="10" s="1"/>
  <c r="O111" i="2"/>
  <c r="R110" i="2"/>
  <c r="S110" i="2" s="1"/>
  <c r="P110" i="2"/>
  <c r="T110" i="2" s="1"/>
  <c r="H110" i="2"/>
  <c r="D111" i="2"/>
  <c r="F111" i="2"/>
  <c r="G111" i="2" s="1"/>
  <c r="C107" i="3"/>
  <c r="E107" i="3" s="1"/>
  <c r="I112" i="10" l="1"/>
  <c r="J111" i="10"/>
  <c r="L111" i="10"/>
  <c r="M111" i="10" s="1"/>
  <c r="N111" i="10" s="1"/>
  <c r="U112" i="10"/>
  <c r="V111" i="10"/>
  <c r="X111" i="10"/>
  <c r="Y111" i="10" s="1"/>
  <c r="C112" i="10"/>
  <c r="D111" i="10"/>
  <c r="F111" i="10"/>
  <c r="G111" i="10" s="1"/>
  <c r="H111" i="10" s="1"/>
  <c r="AA112" i="2"/>
  <c r="AB111" i="2"/>
  <c r="AF111" i="2" s="1"/>
  <c r="AD111" i="2"/>
  <c r="AE111" i="2" s="1"/>
  <c r="N110" i="2"/>
  <c r="O112" i="2"/>
  <c r="P111" i="2"/>
  <c r="R111" i="2"/>
  <c r="S111" i="2" s="1"/>
  <c r="I112" i="2"/>
  <c r="J111" i="2"/>
  <c r="N111" i="2" s="1"/>
  <c r="L111" i="2"/>
  <c r="M111" i="2" s="1"/>
  <c r="T110" i="10"/>
  <c r="U112" i="2"/>
  <c r="V111" i="2"/>
  <c r="Z111" i="2" s="1"/>
  <c r="X111" i="2"/>
  <c r="Y111" i="2" s="1"/>
  <c r="AA112" i="10"/>
  <c r="AB111" i="10"/>
  <c r="AD111" i="10"/>
  <c r="AE111" i="10" s="1"/>
  <c r="AF111" i="10" s="1"/>
  <c r="Z110" i="10"/>
  <c r="H110" i="10"/>
  <c r="AG110" i="10" s="1"/>
  <c r="AK110" i="10" s="1"/>
  <c r="AF110" i="2"/>
  <c r="AG110" i="2" s="1"/>
  <c r="AI110" i="2" s="1"/>
  <c r="O112" i="10"/>
  <c r="P111" i="10"/>
  <c r="R111" i="10"/>
  <c r="S111" i="10" s="1"/>
  <c r="T111" i="10" s="1"/>
  <c r="H111" i="2"/>
  <c r="F112" i="2"/>
  <c r="G112" i="2" s="1"/>
  <c r="D112" i="2"/>
  <c r="C108" i="3"/>
  <c r="E108" i="3" s="1"/>
  <c r="Z111" i="10" l="1"/>
  <c r="I113" i="2"/>
  <c r="L112" i="2"/>
  <c r="M112" i="2" s="1"/>
  <c r="J112" i="2"/>
  <c r="N112" i="2" s="1"/>
  <c r="U113" i="10"/>
  <c r="V112" i="10"/>
  <c r="X112" i="10"/>
  <c r="Y112" i="10" s="1"/>
  <c r="T111" i="2"/>
  <c r="AG111" i="10"/>
  <c r="AK111" i="10" s="1"/>
  <c r="U113" i="2"/>
  <c r="X112" i="2"/>
  <c r="Y112" i="2" s="1"/>
  <c r="V112" i="2"/>
  <c r="O113" i="2"/>
  <c r="R112" i="2"/>
  <c r="S112" i="2" s="1"/>
  <c r="P112" i="2"/>
  <c r="T112" i="2" s="1"/>
  <c r="AG111" i="2"/>
  <c r="AI111" i="2" s="1"/>
  <c r="AA113" i="2"/>
  <c r="AB112" i="2"/>
  <c r="AF112" i="2" s="1"/>
  <c r="AD112" i="2"/>
  <c r="AE112" i="2" s="1"/>
  <c r="O113" i="10"/>
  <c r="P112" i="10"/>
  <c r="R112" i="10"/>
  <c r="S112" i="10" s="1"/>
  <c r="T112" i="10" s="1"/>
  <c r="AA113" i="10"/>
  <c r="AB112" i="10"/>
  <c r="AD112" i="10"/>
  <c r="AE112" i="10" s="1"/>
  <c r="C113" i="10"/>
  <c r="D112" i="10"/>
  <c r="F112" i="10"/>
  <c r="G112" i="10" s="1"/>
  <c r="H112" i="10" s="1"/>
  <c r="I113" i="10"/>
  <c r="J112" i="10"/>
  <c r="L112" i="10"/>
  <c r="M112" i="10" s="1"/>
  <c r="H112" i="2"/>
  <c r="F113" i="2"/>
  <c r="G113" i="2" s="1"/>
  <c r="D113" i="2"/>
  <c r="C109" i="3"/>
  <c r="E109" i="3" s="1"/>
  <c r="Z112" i="2" l="1"/>
  <c r="U114" i="2"/>
  <c r="V113" i="2"/>
  <c r="X113" i="2"/>
  <c r="Y113" i="2" s="1"/>
  <c r="AA114" i="2"/>
  <c r="AD113" i="2"/>
  <c r="AE113" i="2" s="1"/>
  <c r="AB113" i="2"/>
  <c r="AF113" i="2" s="1"/>
  <c r="AA114" i="10"/>
  <c r="AB113" i="10"/>
  <c r="AD113" i="10"/>
  <c r="AE113" i="10" s="1"/>
  <c r="AF113" i="10" s="1"/>
  <c r="C114" i="10"/>
  <c r="D113" i="10"/>
  <c r="F113" i="10"/>
  <c r="G113" i="10" s="1"/>
  <c r="H113" i="10" s="1"/>
  <c r="O114" i="10"/>
  <c r="P113" i="10"/>
  <c r="R113" i="10"/>
  <c r="S113" i="10" s="1"/>
  <c r="T113" i="10" s="1"/>
  <c r="I114" i="2"/>
  <c r="J113" i="2"/>
  <c r="L113" i="2"/>
  <c r="M113" i="2" s="1"/>
  <c r="I114" i="10"/>
  <c r="J113" i="10"/>
  <c r="L113" i="10"/>
  <c r="M113" i="10" s="1"/>
  <c r="N113" i="10" s="1"/>
  <c r="U114" i="10"/>
  <c r="V113" i="10"/>
  <c r="X113" i="10"/>
  <c r="Y113" i="10" s="1"/>
  <c r="Z113" i="10" s="1"/>
  <c r="AG112" i="2"/>
  <c r="AI112" i="2" s="1"/>
  <c r="N112" i="10"/>
  <c r="AG112" i="10" s="1"/>
  <c r="AK112" i="10" s="1"/>
  <c r="AF112" i="10"/>
  <c r="O114" i="2"/>
  <c r="P113" i="2"/>
  <c r="R113" i="2"/>
  <c r="S113" i="2" s="1"/>
  <c r="Z112" i="10"/>
  <c r="H113" i="2"/>
  <c r="F114" i="2"/>
  <c r="G114" i="2" s="1"/>
  <c r="D114" i="2"/>
  <c r="C110" i="3"/>
  <c r="E110" i="3" s="1"/>
  <c r="U115" i="10" l="1"/>
  <c r="V114" i="10"/>
  <c r="X114" i="10"/>
  <c r="Y114" i="10" s="1"/>
  <c r="Z114" i="10" s="1"/>
  <c r="I115" i="2"/>
  <c r="L114" i="2"/>
  <c r="M114" i="2" s="1"/>
  <c r="J114" i="2"/>
  <c r="C115" i="10"/>
  <c r="D114" i="10"/>
  <c r="F114" i="10"/>
  <c r="G114" i="10" s="1"/>
  <c r="H114" i="10" s="1"/>
  <c r="AA115" i="2"/>
  <c r="AD114" i="2"/>
  <c r="AE114" i="2" s="1"/>
  <c r="AB114" i="2"/>
  <c r="Z113" i="2"/>
  <c r="I115" i="10"/>
  <c r="J114" i="10"/>
  <c r="L114" i="10"/>
  <c r="M114" i="10" s="1"/>
  <c r="N114" i="10" s="1"/>
  <c r="O115" i="10"/>
  <c r="P114" i="10"/>
  <c r="R114" i="10"/>
  <c r="S114" i="10" s="1"/>
  <c r="AA115" i="10"/>
  <c r="AB114" i="10"/>
  <c r="AD114" i="10"/>
  <c r="AE114" i="10" s="1"/>
  <c r="AF114" i="10" s="1"/>
  <c r="U115" i="2"/>
  <c r="X114" i="2"/>
  <c r="Y114" i="2" s="1"/>
  <c r="V114" i="2"/>
  <c r="O115" i="2"/>
  <c r="R114" i="2"/>
  <c r="S114" i="2" s="1"/>
  <c r="P114" i="2"/>
  <c r="T114" i="2" s="1"/>
  <c r="AG113" i="10"/>
  <c r="AK113" i="10" s="1"/>
  <c r="T113" i="2"/>
  <c r="N113" i="2"/>
  <c r="AG113" i="2" s="1"/>
  <c r="AI113" i="2" s="1"/>
  <c r="H114" i="2"/>
  <c r="D115" i="2"/>
  <c r="F115" i="2"/>
  <c r="G115" i="2" s="1"/>
  <c r="C111" i="3"/>
  <c r="E111" i="3" s="1"/>
  <c r="U116" i="2" l="1"/>
  <c r="X115" i="2"/>
  <c r="Y115" i="2" s="1"/>
  <c r="V115" i="2"/>
  <c r="Z115" i="2" s="1"/>
  <c r="O116" i="10"/>
  <c r="P115" i="10"/>
  <c r="R115" i="10"/>
  <c r="S115" i="10" s="1"/>
  <c r="AF114" i="2"/>
  <c r="N114" i="2"/>
  <c r="AA116" i="2"/>
  <c r="AB115" i="2"/>
  <c r="AD115" i="2"/>
  <c r="AE115" i="2" s="1"/>
  <c r="I116" i="2"/>
  <c r="J115" i="2"/>
  <c r="N115" i="2" s="1"/>
  <c r="L115" i="2"/>
  <c r="M115" i="2" s="1"/>
  <c r="O116" i="2"/>
  <c r="P115" i="2"/>
  <c r="R115" i="2"/>
  <c r="S115" i="2" s="1"/>
  <c r="I116" i="10"/>
  <c r="J115" i="10"/>
  <c r="L115" i="10"/>
  <c r="M115" i="10" s="1"/>
  <c r="AG114" i="10"/>
  <c r="AK114" i="10" s="1"/>
  <c r="AA116" i="10"/>
  <c r="AB115" i="10"/>
  <c r="AD115" i="10"/>
  <c r="AE115" i="10" s="1"/>
  <c r="AF115" i="10" s="1"/>
  <c r="Z114" i="2"/>
  <c r="T114" i="10"/>
  <c r="C116" i="10"/>
  <c r="D115" i="10"/>
  <c r="F115" i="10"/>
  <c r="G115" i="10" s="1"/>
  <c r="H115" i="10" s="1"/>
  <c r="U116" i="10"/>
  <c r="V115" i="10"/>
  <c r="X115" i="10"/>
  <c r="Y115" i="10" s="1"/>
  <c r="AG114" i="2"/>
  <c r="AI114" i="2" s="1"/>
  <c r="H115" i="2"/>
  <c r="D116" i="2"/>
  <c r="F116" i="2"/>
  <c r="G116" i="2" s="1"/>
  <c r="C112" i="3"/>
  <c r="E112" i="3" s="1"/>
  <c r="I117" i="10" l="1"/>
  <c r="J116" i="10"/>
  <c r="L116" i="10"/>
  <c r="M116" i="10" s="1"/>
  <c r="N116" i="10" s="1"/>
  <c r="I117" i="2"/>
  <c r="L116" i="2"/>
  <c r="M116" i="2" s="1"/>
  <c r="J116" i="2"/>
  <c r="T115" i="10"/>
  <c r="T115" i="2"/>
  <c r="AG115" i="2" s="1"/>
  <c r="AI115" i="2" s="1"/>
  <c r="AF115" i="2"/>
  <c r="O117" i="10"/>
  <c r="P116" i="10"/>
  <c r="R116" i="10"/>
  <c r="S116" i="10" s="1"/>
  <c r="U117" i="10"/>
  <c r="V116" i="10"/>
  <c r="X116" i="10"/>
  <c r="Y116" i="10" s="1"/>
  <c r="Z116" i="10" s="1"/>
  <c r="O117" i="2"/>
  <c r="R116" i="2"/>
  <c r="S116" i="2" s="1"/>
  <c r="P116" i="2"/>
  <c r="AA117" i="2"/>
  <c r="AB116" i="2"/>
  <c r="AD116" i="2"/>
  <c r="AE116" i="2" s="1"/>
  <c r="AG115" i="10"/>
  <c r="AK115" i="10" s="1"/>
  <c r="C117" i="10"/>
  <c r="D116" i="10"/>
  <c r="F116" i="10"/>
  <c r="G116" i="10" s="1"/>
  <c r="H116" i="10" s="1"/>
  <c r="Z115" i="10"/>
  <c r="N115" i="10"/>
  <c r="AA117" i="10"/>
  <c r="AB116" i="10"/>
  <c r="AD116" i="10"/>
  <c r="AE116" i="10" s="1"/>
  <c r="U117" i="2"/>
  <c r="V116" i="2"/>
  <c r="X116" i="2"/>
  <c r="Y116" i="2" s="1"/>
  <c r="H116" i="2"/>
  <c r="F117" i="2"/>
  <c r="G117" i="2" s="1"/>
  <c r="D117" i="2"/>
  <c r="C113" i="3"/>
  <c r="E113" i="3" s="1"/>
  <c r="C118" i="10" l="1"/>
  <c r="D117" i="10"/>
  <c r="F117" i="10"/>
  <c r="G117" i="10" s="1"/>
  <c r="N116" i="2"/>
  <c r="O118" i="2"/>
  <c r="P117" i="2"/>
  <c r="T117" i="2" s="1"/>
  <c r="R117" i="2"/>
  <c r="S117" i="2" s="1"/>
  <c r="I118" i="2"/>
  <c r="J117" i="2"/>
  <c r="L117" i="2"/>
  <c r="M117" i="2" s="1"/>
  <c r="Z116" i="2"/>
  <c r="AF116" i="2"/>
  <c r="AA118" i="2"/>
  <c r="AB117" i="2"/>
  <c r="AD117" i="2"/>
  <c r="AE117" i="2" s="1"/>
  <c r="U118" i="10"/>
  <c r="V117" i="10"/>
  <c r="X117" i="10"/>
  <c r="Y117" i="10" s="1"/>
  <c r="Z117" i="10" s="1"/>
  <c r="AA118" i="10"/>
  <c r="AB117" i="10"/>
  <c r="AD117" i="10"/>
  <c r="AE117" i="10" s="1"/>
  <c r="AF117" i="10" s="1"/>
  <c r="O118" i="10"/>
  <c r="P117" i="10"/>
  <c r="R117" i="10"/>
  <c r="S117" i="10" s="1"/>
  <c r="T117" i="10" s="1"/>
  <c r="U118" i="2"/>
  <c r="V117" i="2"/>
  <c r="X117" i="2"/>
  <c r="Y117" i="2" s="1"/>
  <c r="AF116" i="10"/>
  <c r="T116" i="2"/>
  <c r="AG116" i="2" s="1"/>
  <c r="AI116" i="2" s="1"/>
  <c r="T116" i="10"/>
  <c r="AG116" i="10" s="1"/>
  <c r="AK116" i="10" s="1"/>
  <c r="I118" i="10"/>
  <c r="J117" i="10"/>
  <c r="L117" i="10"/>
  <c r="M117" i="10" s="1"/>
  <c r="N117" i="10" s="1"/>
  <c r="H117" i="2"/>
  <c r="F118" i="2"/>
  <c r="G118" i="2" s="1"/>
  <c r="D118" i="2"/>
  <c r="C114" i="3"/>
  <c r="E114" i="3" s="1"/>
  <c r="O119" i="10" l="1"/>
  <c r="P118" i="10"/>
  <c r="R118" i="10"/>
  <c r="S118" i="10" s="1"/>
  <c r="T118" i="10" s="1"/>
  <c r="U119" i="10"/>
  <c r="V118" i="10"/>
  <c r="X118" i="10"/>
  <c r="Y118" i="10" s="1"/>
  <c r="O119" i="2"/>
  <c r="P118" i="2"/>
  <c r="R118" i="2"/>
  <c r="S118" i="2" s="1"/>
  <c r="Z117" i="2"/>
  <c r="AF117" i="2"/>
  <c r="U119" i="2"/>
  <c r="X118" i="2"/>
  <c r="Y118" i="2" s="1"/>
  <c r="V118" i="2"/>
  <c r="Z118" i="2" s="1"/>
  <c r="AA119" i="10"/>
  <c r="AB118" i="10"/>
  <c r="AD118" i="10"/>
  <c r="AE118" i="10" s="1"/>
  <c r="AA119" i="2"/>
  <c r="AD118" i="2"/>
  <c r="AE118" i="2" s="1"/>
  <c r="AB118" i="2"/>
  <c r="AF118" i="2" s="1"/>
  <c r="N117" i="2"/>
  <c r="AG117" i="2" s="1"/>
  <c r="AI117" i="2" s="1"/>
  <c r="H117" i="10"/>
  <c r="AG117" i="10" s="1"/>
  <c r="AK117" i="10" s="1"/>
  <c r="I119" i="2"/>
  <c r="L118" i="2"/>
  <c r="M118" i="2" s="1"/>
  <c r="J118" i="2"/>
  <c r="I119" i="10"/>
  <c r="J118" i="10"/>
  <c r="L118" i="10"/>
  <c r="M118" i="10" s="1"/>
  <c r="N118" i="10" s="1"/>
  <c r="C119" i="10"/>
  <c r="D118" i="10"/>
  <c r="F118" i="10"/>
  <c r="G118" i="10" s="1"/>
  <c r="H118" i="10" s="1"/>
  <c r="H118" i="2"/>
  <c r="F119" i="2"/>
  <c r="G119" i="2" s="1"/>
  <c r="D119" i="2"/>
  <c r="C115" i="3"/>
  <c r="E115" i="3" s="1"/>
  <c r="C120" i="10" l="1"/>
  <c r="D119" i="10"/>
  <c r="F119" i="10"/>
  <c r="G119" i="10" s="1"/>
  <c r="H119" i="10" s="1"/>
  <c r="I120" i="2"/>
  <c r="J119" i="2"/>
  <c r="N119" i="2" s="1"/>
  <c r="L119" i="2"/>
  <c r="M119" i="2" s="1"/>
  <c r="AF118" i="10"/>
  <c r="AA120" i="10"/>
  <c r="AB119" i="10"/>
  <c r="AD119" i="10"/>
  <c r="AE119" i="10" s="1"/>
  <c r="AF119" i="10" s="1"/>
  <c r="I120" i="10"/>
  <c r="J119" i="10"/>
  <c r="L119" i="10"/>
  <c r="M119" i="10" s="1"/>
  <c r="T118" i="2"/>
  <c r="U120" i="10"/>
  <c r="V119" i="10"/>
  <c r="X119" i="10"/>
  <c r="Y119" i="10" s="1"/>
  <c r="Z119" i="10" s="1"/>
  <c r="AG118" i="10"/>
  <c r="AK118" i="10" s="1"/>
  <c r="N118" i="2"/>
  <c r="O120" i="2"/>
  <c r="P119" i="2"/>
  <c r="R119" i="2"/>
  <c r="S119" i="2" s="1"/>
  <c r="O120" i="10"/>
  <c r="P119" i="10"/>
  <c r="R119" i="10"/>
  <c r="S119" i="10" s="1"/>
  <c r="AG118" i="2"/>
  <c r="AI118" i="2" s="1"/>
  <c r="AA120" i="2"/>
  <c r="AB119" i="2"/>
  <c r="AD119" i="2"/>
  <c r="AE119" i="2" s="1"/>
  <c r="U120" i="2"/>
  <c r="V119" i="2"/>
  <c r="X119" i="2"/>
  <c r="Y119" i="2" s="1"/>
  <c r="Z118" i="10"/>
  <c r="H119" i="2"/>
  <c r="D120" i="2"/>
  <c r="F120" i="2"/>
  <c r="G120" i="2" s="1"/>
  <c r="C116" i="3"/>
  <c r="E116" i="3" s="1"/>
  <c r="U121" i="2" l="1"/>
  <c r="X120" i="2"/>
  <c r="Y120" i="2" s="1"/>
  <c r="V120" i="2"/>
  <c r="Z120" i="2" s="1"/>
  <c r="O121" i="10"/>
  <c r="P120" i="10"/>
  <c r="R120" i="10"/>
  <c r="S120" i="10" s="1"/>
  <c r="I121" i="2"/>
  <c r="J120" i="2"/>
  <c r="L120" i="2"/>
  <c r="M120" i="2" s="1"/>
  <c r="I121" i="10"/>
  <c r="J120" i="10"/>
  <c r="L120" i="10"/>
  <c r="M120" i="10" s="1"/>
  <c r="T119" i="2"/>
  <c r="AG119" i="2" s="1"/>
  <c r="AI119" i="2" s="1"/>
  <c r="U121" i="10"/>
  <c r="V120" i="10"/>
  <c r="X120" i="10"/>
  <c r="Y120" i="10" s="1"/>
  <c r="Z120" i="10" s="1"/>
  <c r="AF119" i="2"/>
  <c r="O121" i="2"/>
  <c r="R120" i="2"/>
  <c r="S120" i="2" s="1"/>
  <c r="P120" i="2"/>
  <c r="T120" i="2" s="1"/>
  <c r="AA121" i="10"/>
  <c r="AB120" i="10"/>
  <c r="AD120" i="10"/>
  <c r="AE120" i="10" s="1"/>
  <c r="AA121" i="2"/>
  <c r="AB120" i="2"/>
  <c r="AD120" i="2"/>
  <c r="AE120" i="2" s="1"/>
  <c r="Z119" i="2"/>
  <c r="T119" i="10"/>
  <c r="AG119" i="10" s="1"/>
  <c r="AK119" i="10" s="1"/>
  <c r="N119" i="10"/>
  <c r="C121" i="10"/>
  <c r="D120" i="10"/>
  <c r="F120" i="10"/>
  <c r="G120" i="10" s="1"/>
  <c r="H120" i="10" s="1"/>
  <c r="H120" i="2"/>
  <c r="F121" i="2"/>
  <c r="G121" i="2" s="1"/>
  <c r="D121" i="2"/>
  <c r="C117" i="3"/>
  <c r="E117" i="3" s="1"/>
  <c r="T120" i="10" l="1"/>
  <c r="O122" i="10"/>
  <c r="P121" i="10"/>
  <c r="R121" i="10"/>
  <c r="S121" i="10" s="1"/>
  <c r="T121" i="10" s="1"/>
  <c r="AA122" i="10"/>
  <c r="AB121" i="10"/>
  <c r="AD121" i="10"/>
  <c r="AE121" i="10" s="1"/>
  <c r="U122" i="10"/>
  <c r="V121" i="10"/>
  <c r="X121" i="10"/>
  <c r="Y121" i="10" s="1"/>
  <c r="Z121" i="10" s="1"/>
  <c r="N120" i="2"/>
  <c r="AG120" i="2" s="1"/>
  <c r="AI120" i="2" s="1"/>
  <c r="AA122" i="2"/>
  <c r="AB121" i="2"/>
  <c r="AD121" i="2"/>
  <c r="AE121" i="2" s="1"/>
  <c r="O122" i="2"/>
  <c r="P121" i="2"/>
  <c r="T121" i="2" s="1"/>
  <c r="R121" i="2"/>
  <c r="S121" i="2" s="1"/>
  <c r="I122" i="2"/>
  <c r="J121" i="2"/>
  <c r="L121" i="2"/>
  <c r="M121" i="2" s="1"/>
  <c r="I122" i="10"/>
  <c r="J121" i="10"/>
  <c r="L121" i="10"/>
  <c r="M121" i="10" s="1"/>
  <c r="AF120" i="2"/>
  <c r="C122" i="10"/>
  <c r="D121" i="10"/>
  <c r="F121" i="10"/>
  <c r="G121" i="10" s="1"/>
  <c r="H121" i="10" s="1"/>
  <c r="AF120" i="10"/>
  <c r="N120" i="10"/>
  <c r="AG120" i="10" s="1"/>
  <c r="AK120" i="10" s="1"/>
  <c r="U122" i="2"/>
  <c r="V121" i="2"/>
  <c r="X121" i="2"/>
  <c r="Y121" i="2" s="1"/>
  <c r="H121" i="2"/>
  <c r="D122" i="2"/>
  <c r="F122" i="2"/>
  <c r="G122" i="2" s="1"/>
  <c r="C118" i="3"/>
  <c r="E118" i="3" s="1"/>
  <c r="I123" i="10" l="1"/>
  <c r="J122" i="10"/>
  <c r="L122" i="10"/>
  <c r="M122" i="10" s="1"/>
  <c r="N122" i="10" s="1"/>
  <c r="AA123" i="10"/>
  <c r="AB122" i="10"/>
  <c r="AD122" i="10"/>
  <c r="AE122" i="10" s="1"/>
  <c r="Z121" i="2"/>
  <c r="C123" i="10"/>
  <c r="D122" i="10"/>
  <c r="F122" i="10"/>
  <c r="G122" i="10" s="1"/>
  <c r="H122" i="10" s="1"/>
  <c r="N121" i="2"/>
  <c r="AG121" i="2" s="1"/>
  <c r="AI121" i="2" s="1"/>
  <c r="AF121" i="2"/>
  <c r="AA123" i="2"/>
  <c r="AB122" i="2"/>
  <c r="AD122" i="2"/>
  <c r="AE122" i="2" s="1"/>
  <c r="U123" i="10"/>
  <c r="V122" i="10"/>
  <c r="X122" i="10"/>
  <c r="Y122" i="10" s="1"/>
  <c r="O123" i="10"/>
  <c r="P122" i="10"/>
  <c r="R122" i="10"/>
  <c r="S122" i="10" s="1"/>
  <c r="T122" i="10" s="1"/>
  <c r="O123" i="2"/>
  <c r="R122" i="2"/>
  <c r="S122" i="2" s="1"/>
  <c r="P122" i="2"/>
  <c r="U123" i="2"/>
  <c r="X122" i="2"/>
  <c r="Y122" i="2" s="1"/>
  <c r="V122" i="2"/>
  <c r="Z122" i="2" s="1"/>
  <c r="I123" i="2"/>
  <c r="L122" i="2"/>
  <c r="M122" i="2" s="1"/>
  <c r="J122" i="2"/>
  <c r="N121" i="10"/>
  <c r="AG121" i="10" s="1"/>
  <c r="AK121" i="10" s="1"/>
  <c r="AF121" i="10"/>
  <c r="H122" i="2"/>
  <c r="F123" i="2"/>
  <c r="G123" i="2" s="1"/>
  <c r="D123" i="2"/>
  <c r="C119" i="3"/>
  <c r="E119" i="3" s="1"/>
  <c r="AF122" i="10" l="1"/>
  <c r="AA124" i="10"/>
  <c r="AB123" i="10"/>
  <c r="AD123" i="10"/>
  <c r="AE123" i="10" s="1"/>
  <c r="U124" i="10"/>
  <c r="V123" i="10"/>
  <c r="X123" i="10"/>
  <c r="Y123" i="10" s="1"/>
  <c r="Z123" i="10" s="1"/>
  <c r="AF122" i="2"/>
  <c r="I124" i="2"/>
  <c r="J123" i="2"/>
  <c r="N123" i="2" s="1"/>
  <c r="L123" i="2"/>
  <c r="M123" i="2" s="1"/>
  <c r="O124" i="10"/>
  <c r="P123" i="10"/>
  <c r="R123" i="10"/>
  <c r="S123" i="10" s="1"/>
  <c r="T123" i="10" s="1"/>
  <c r="AA124" i="2"/>
  <c r="AB123" i="2"/>
  <c r="AF123" i="2" s="1"/>
  <c r="AD123" i="2"/>
  <c r="AE123" i="2" s="1"/>
  <c r="C124" i="10"/>
  <c r="D123" i="10"/>
  <c r="F123" i="10"/>
  <c r="G123" i="10" s="1"/>
  <c r="H123" i="10" s="1"/>
  <c r="O124" i="2"/>
  <c r="P123" i="2"/>
  <c r="T123" i="2" s="1"/>
  <c r="R123" i="2"/>
  <c r="S123" i="2" s="1"/>
  <c r="U124" i="2"/>
  <c r="X123" i="2"/>
  <c r="Y123" i="2" s="1"/>
  <c r="V123" i="2"/>
  <c r="Z123" i="2" s="1"/>
  <c r="N122" i="2"/>
  <c r="AG122" i="2" s="1"/>
  <c r="AI122" i="2" s="1"/>
  <c r="T122" i="2"/>
  <c r="Z122" i="10"/>
  <c r="AG122" i="10" s="1"/>
  <c r="AK122" i="10" s="1"/>
  <c r="I124" i="10"/>
  <c r="J123" i="10"/>
  <c r="L123" i="10"/>
  <c r="M123" i="10" s="1"/>
  <c r="N123" i="10" s="1"/>
  <c r="H123" i="2"/>
  <c r="F124" i="2"/>
  <c r="G124" i="2" s="1"/>
  <c r="D124" i="2"/>
  <c r="C120" i="3"/>
  <c r="E120" i="3" s="1"/>
  <c r="AF123" i="10" l="1"/>
  <c r="AA125" i="2"/>
  <c r="AD124" i="2"/>
  <c r="AE124" i="2" s="1"/>
  <c r="AB124" i="2"/>
  <c r="AF124" i="2" s="1"/>
  <c r="AA125" i="10"/>
  <c r="AB124" i="10"/>
  <c r="AD124" i="10"/>
  <c r="AE124" i="10" s="1"/>
  <c r="I125" i="2"/>
  <c r="J124" i="2"/>
  <c r="L124" i="2"/>
  <c r="M124" i="2" s="1"/>
  <c r="U125" i="2"/>
  <c r="X124" i="2"/>
  <c r="Y124" i="2" s="1"/>
  <c r="V124" i="2"/>
  <c r="C125" i="10"/>
  <c r="D124" i="10"/>
  <c r="F124" i="10"/>
  <c r="G124" i="10" s="1"/>
  <c r="H124" i="10" s="1"/>
  <c r="O125" i="10"/>
  <c r="P124" i="10"/>
  <c r="R124" i="10"/>
  <c r="S124" i="10" s="1"/>
  <c r="O125" i="2"/>
  <c r="P124" i="2"/>
  <c r="R124" i="2"/>
  <c r="S124" i="2" s="1"/>
  <c r="AG123" i="10"/>
  <c r="AK123" i="10" s="1"/>
  <c r="I125" i="10"/>
  <c r="J124" i="10"/>
  <c r="L124" i="10"/>
  <c r="M124" i="10" s="1"/>
  <c r="N124" i="10" s="1"/>
  <c r="U125" i="10"/>
  <c r="V124" i="10"/>
  <c r="X124" i="10"/>
  <c r="Y124" i="10" s="1"/>
  <c r="Z124" i="10" s="1"/>
  <c r="H124" i="2"/>
  <c r="AG123" i="2"/>
  <c r="AI123" i="2" s="1"/>
  <c r="F125" i="2"/>
  <c r="G125" i="2" s="1"/>
  <c r="D125" i="2"/>
  <c r="C121" i="3"/>
  <c r="E121" i="3" s="1"/>
  <c r="I126" i="10" l="1"/>
  <c r="J125" i="10"/>
  <c r="L125" i="10"/>
  <c r="M125" i="10" s="1"/>
  <c r="N125" i="10" s="1"/>
  <c r="O126" i="10"/>
  <c r="P125" i="10"/>
  <c r="R125" i="10"/>
  <c r="S125" i="10" s="1"/>
  <c r="U126" i="10"/>
  <c r="V125" i="10"/>
  <c r="X125" i="10"/>
  <c r="Y125" i="10" s="1"/>
  <c r="Z125" i="10" s="1"/>
  <c r="T124" i="2"/>
  <c r="N124" i="2"/>
  <c r="AG124" i="2" s="1"/>
  <c r="AI124" i="2" s="1"/>
  <c r="U126" i="2"/>
  <c r="V125" i="2"/>
  <c r="X125" i="2"/>
  <c r="Y125" i="2" s="1"/>
  <c r="O126" i="2"/>
  <c r="P125" i="2"/>
  <c r="T125" i="2" s="1"/>
  <c r="R125" i="2"/>
  <c r="S125" i="2" s="1"/>
  <c r="C126" i="10"/>
  <c r="D125" i="10"/>
  <c r="F125" i="10"/>
  <c r="G125" i="10" s="1"/>
  <c r="H125" i="10" s="1"/>
  <c r="I126" i="2"/>
  <c r="L125" i="2"/>
  <c r="M125" i="2" s="1"/>
  <c r="J125" i="2"/>
  <c r="AA126" i="2"/>
  <c r="AB125" i="2"/>
  <c r="AD125" i="2"/>
  <c r="AE125" i="2" s="1"/>
  <c r="AA126" i="10"/>
  <c r="AB125" i="10"/>
  <c r="AD125" i="10"/>
  <c r="AE125" i="10" s="1"/>
  <c r="T124" i="10"/>
  <c r="AG124" i="10" s="1"/>
  <c r="AK124" i="10" s="1"/>
  <c r="Z124" i="2"/>
  <c r="AF124" i="10"/>
  <c r="H125" i="2"/>
  <c r="D126" i="2"/>
  <c r="F126" i="2"/>
  <c r="G126" i="2" s="1"/>
  <c r="C122" i="3"/>
  <c r="E122" i="3" s="1"/>
  <c r="AA127" i="10" l="1"/>
  <c r="AB126" i="10"/>
  <c r="AD126" i="10"/>
  <c r="AE126" i="10" s="1"/>
  <c r="AF126" i="10" s="1"/>
  <c r="O127" i="10"/>
  <c r="P126" i="10"/>
  <c r="R126" i="10"/>
  <c r="S126" i="10" s="1"/>
  <c r="AF125" i="2"/>
  <c r="Z125" i="2"/>
  <c r="U127" i="10"/>
  <c r="V126" i="10"/>
  <c r="X126" i="10"/>
  <c r="Y126" i="10" s="1"/>
  <c r="Z126" i="10" s="1"/>
  <c r="AG125" i="2"/>
  <c r="AI125" i="2" s="1"/>
  <c r="O127" i="2"/>
  <c r="R126" i="2"/>
  <c r="S126" i="2" s="1"/>
  <c r="P126" i="2"/>
  <c r="T126" i="2" s="1"/>
  <c r="AA127" i="2"/>
  <c r="AB126" i="2"/>
  <c r="AF126" i="2" s="1"/>
  <c r="AD126" i="2"/>
  <c r="AE126" i="2" s="1"/>
  <c r="C127" i="10"/>
  <c r="D126" i="10"/>
  <c r="F126" i="10"/>
  <c r="G126" i="10" s="1"/>
  <c r="H126" i="10" s="1"/>
  <c r="U127" i="2"/>
  <c r="X126" i="2"/>
  <c r="Y126" i="2" s="1"/>
  <c r="V126" i="2"/>
  <c r="I127" i="10"/>
  <c r="J126" i="10"/>
  <c r="L126" i="10"/>
  <c r="M126" i="10" s="1"/>
  <c r="N126" i="10" s="1"/>
  <c r="I127" i="2"/>
  <c r="L126" i="2"/>
  <c r="M126" i="2" s="1"/>
  <c r="J126" i="2"/>
  <c r="N126" i="2" s="1"/>
  <c r="AF125" i="10"/>
  <c r="N125" i="2"/>
  <c r="T125" i="10"/>
  <c r="AG125" i="10" s="1"/>
  <c r="AK125" i="10" s="1"/>
  <c r="H126" i="2"/>
  <c r="D127" i="2"/>
  <c r="F127" i="2"/>
  <c r="G127" i="2" s="1"/>
  <c r="C123" i="3"/>
  <c r="E123" i="3" s="1"/>
  <c r="Z126" i="2" l="1"/>
  <c r="T126" i="10"/>
  <c r="AG126" i="2"/>
  <c r="AI126" i="2" s="1"/>
  <c r="AB127" i="2"/>
  <c r="AD127" i="2"/>
  <c r="AE127" i="2" s="1"/>
  <c r="P127" i="10"/>
  <c r="R127" i="10"/>
  <c r="S127" i="10" s="1"/>
  <c r="AG126" i="10"/>
  <c r="AK126" i="10" s="1"/>
  <c r="V127" i="10"/>
  <c r="X127" i="10"/>
  <c r="Y127" i="10" s="1"/>
  <c r="Z127" i="10" s="1"/>
  <c r="J127" i="2"/>
  <c r="L127" i="2"/>
  <c r="M127" i="2" s="1"/>
  <c r="V127" i="2"/>
  <c r="X127" i="2"/>
  <c r="Y127" i="2" s="1"/>
  <c r="J127" i="10"/>
  <c r="L127" i="10"/>
  <c r="M127" i="10" s="1"/>
  <c r="N127" i="10" s="1"/>
  <c r="D127" i="10"/>
  <c r="F127" i="10"/>
  <c r="G127" i="10" s="1"/>
  <c r="H127" i="10" s="1"/>
  <c r="P127" i="2"/>
  <c r="R127" i="2"/>
  <c r="S127" i="2" s="1"/>
  <c r="AB127" i="10"/>
  <c r="AD127" i="10"/>
  <c r="AE127" i="10" s="1"/>
  <c r="AF127" i="10" s="1"/>
  <c r="H127" i="2"/>
  <c r="C124" i="3"/>
  <c r="E124" i="3" s="1"/>
  <c r="AF127" i="2" l="1"/>
  <c r="N127" i="2"/>
  <c r="AG127" i="2" s="1"/>
  <c r="AI127" i="2" s="1"/>
  <c r="AJ127" i="2" s="1"/>
  <c r="AJ126" i="2" s="1"/>
  <c r="AJ125" i="2" s="1"/>
  <c r="AJ124" i="2" s="1"/>
  <c r="AJ123" i="2" s="1"/>
  <c r="AJ122" i="2" s="1"/>
  <c r="AJ121" i="2" s="1"/>
  <c r="AJ120" i="2" s="1"/>
  <c r="AJ119" i="2" s="1"/>
  <c r="AJ118" i="2" s="1"/>
  <c r="AJ117" i="2" s="1"/>
  <c r="AJ116" i="2" s="1"/>
  <c r="AJ115" i="2" s="1"/>
  <c r="AJ114" i="2" s="1"/>
  <c r="AJ113" i="2" s="1"/>
  <c r="AJ112" i="2" s="1"/>
  <c r="AJ111" i="2" s="1"/>
  <c r="AJ110" i="2" s="1"/>
  <c r="AJ109" i="2" s="1"/>
  <c r="AJ108" i="2" s="1"/>
  <c r="AJ107" i="2" s="1"/>
  <c r="AJ106" i="2" s="1"/>
  <c r="AJ105" i="2" s="1"/>
  <c r="AJ104" i="2" s="1"/>
  <c r="AJ103" i="2" s="1"/>
  <c r="AJ102" i="2" s="1"/>
  <c r="AJ101" i="2" s="1"/>
  <c r="AJ100" i="2" s="1"/>
  <c r="AJ99" i="2" s="1"/>
  <c r="AJ98" i="2" s="1"/>
  <c r="AJ97" i="2" s="1"/>
  <c r="AJ96" i="2" s="1"/>
  <c r="AJ95" i="2" s="1"/>
  <c r="AJ94" i="2" s="1"/>
  <c r="AJ93" i="2" s="1"/>
  <c r="AJ92" i="2" s="1"/>
  <c r="AJ91" i="2" s="1"/>
  <c r="AJ90" i="2" s="1"/>
  <c r="AJ89" i="2" s="1"/>
  <c r="AJ88" i="2" s="1"/>
  <c r="AJ87" i="2" s="1"/>
  <c r="AJ86" i="2" s="1"/>
  <c r="AJ85" i="2" s="1"/>
  <c r="AJ84" i="2" s="1"/>
  <c r="AJ83" i="2" s="1"/>
  <c r="AJ82" i="2" s="1"/>
  <c r="AJ81" i="2" s="1"/>
  <c r="AJ80" i="2" s="1"/>
  <c r="AJ79" i="2" s="1"/>
  <c r="AJ78" i="2" s="1"/>
  <c r="AJ77" i="2" s="1"/>
  <c r="AJ76" i="2" s="1"/>
  <c r="AJ75" i="2" s="1"/>
  <c r="AJ74" i="2" s="1"/>
  <c r="AJ73" i="2" s="1"/>
  <c r="AJ72" i="2" s="1"/>
  <c r="AJ71" i="2" s="1"/>
  <c r="AJ70" i="2" s="1"/>
  <c r="AJ69" i="2" s="1"/>
  <c r="AJ68" i="2" s="1"/>
  <c r="AJ67" i="2" s="1"/>
  <c r="AJ66" i="2" s="1"/>
  <c r="AJ65" i="2" s="1"/>
  <c r="AJ64" i="2" s="1"/>
  <c r="AJ63" i="2" s="1"/>
  <c r="AJ62" i="2" s="1"/>
  <c r="AJ61" i="2" s="1"/>
  <c r="AJ60" i="2" s="1"/>
  <c r="AJ59" i="2" s="1"/>
  <c r="AJ58" i="2" s="1"/>
  <c r="AJ57" i="2" s="1"/>
  <c r="AJ56" i="2" s="1"/>
  <c r="AJ55" i="2" s="1"/>
  <c r="AJ54" i="2" s="1"/>
  <c r="AJ53" i="2" s="1"/>
  <c r="AJ52" i="2" s="1"/>
  <c r="AJ51" i="2" s="1"/>
  <c r="AJ50" i="2" s="1"/>
  <c r="AJ49" i="2" s="1"/>
  <c r="AJ48" i="2" s="1"/>
  <c r="AJ47" i="2" s="1"/>
  <c r="AJ46" i="2" s="1"/>
  <c r="AJ45" i="2" s="1"/>
  <c r="AJ44" i="2" s="1"/>
  <c r="AJ43" i="2" s="1"/>
  <c r="AJ42" i="2" s="1"/>
  <c r="AJ41" i="2" s="1"/>
  <c r="AJ40" i="2" s="1"/>
  <c r="AJ39" i="2" s="1"/>
  <c r="AJ38" i="2" s="1"/>
  <c r="AJ37" i="2" s="1"/>
  <c r="AJ36" i="2" s="1"/>
  <c r="AJ35" i="2" s="1"/>
  <c r="AJ34" i="2" s="1"/>
  <c r="AJ33" i="2" s="1"/>
  <c r="AJ32" i="2" s="1"/>
  <c r="AJ31" i="2" s="1"/>
  <c r="AJ30" i="2" s="1"/>
  <c r="AJ29" i="2" s="1"/>
  <c r="AJ28" i="2" s="1"/>
  <c r="AJ27" i="2" s="1"/>
  <c r="AJ26" i="2" s="1"/>
  <c r="AJ25" i="2" s="1"/>
  <c r="AJ24" i="2" s="1"/>
  <c r="AJ23" i="2" s="1"/>
  <c r="AJ22" i="2" s="1"/>
  <c r="AJ21" i="2" s="1"/>
  <c r="AJ20" i="2" s="1"/>
  <c r="AJ19" i="2" s="1"/>
  <c r="AJ18" i="2" s="1"/>
  <c r="AJ17" i="2" s="1"/>
  <c r="AJ16" i="2" s="1"/>
  <c r="AJ15" i="2" s="1"/>
  <c r="AJ14" i="2" s="1"/>
  <c r="AJ13" i="2" s="1"/>
  <c r="AJ12" i="2" s="1"/>
  <c r="AJ11" i="2" s="1"/>
  <c r="AJ10" i="2" s="1"/>
  <c r="AJ9" i="2" s="1"/>
  <c r="AJ8" i="2" s="1"/>
  <c r="T127" i="2"/>
  <c r="Z127" i="2"/>
  <c r="T127" i="10"/>
  <c r="AG127" i="10" s="1"/>
  <c r="AK127" i="10" s="1"/>
  <c r="AL127" i="10" s="1"/>
  <c r="AL126" i="10" s="1"/>
  <c r="AL125" i="10" s="1"/>
  <c r="AL124" i="10" s="1"/>
  <c r="AL123" i="10" s="1"/>
  <c r="AL122" i="10" s="1"/>
  <c r="AL121" i="10" s="1"/>
  <c r="AL120" i="10" s="1"/>
  <c r="AL119" i="10" s="1"/>
  <c r="AL118" i="10" s="1"/>
  <c r="AL117" i="10" s="1"/>
  <c r="AL116" i="10" s="1"/>
  <c r="AL115" i="10" s="1"/>
  <c r="AL114" i="10" s="1"/>
  <c r="AL113" i="10" s="1"/>
  <c r="AL112" i="10" s="1"/>
  <c r="AL111" i="10" s="1"/>
  <c r="AL110" i="10" s="1"/>
  <c r="AL109" i="10" s="1"/>
  <c r="AL108" i="10" s="1"/>
  <c r="AL107" i="10" s="1"/>
  <c r="AL106" i="10" s="1"/>
  <c r="AL105" i="10" s="1"/>
  <c r="AL104" i="10" s="1"/>
  <c r="AL103" i="10" s="1"/>
  <c r="AL102" i="10" s="1"/>
  <c r="AL101" i="10" s="1"/>
  <c r="AL100" i="10" s="1"/>
  <c r="AL99" i="10" s="1"/>
  <c r="AL98" i="10" s="1"/>
  <c r="AL97" i="10" s="1"/>
  <c r="AL96" i="10" s="1"/>
  <c r="AL95" i="10" s="1"/>
  <c r="AL94" i="10" s="1"/>
  <c r="AL93" i="10" s="1"/>
  <c r="AL92" i="10" s="1"/>
  <c r="AL91" i="10" s="1"/>
  <c r="AL90" i="10" s="1"/>
  <c r="AL89" i="10" s="1"/>
  <c r="AL88" i="10" s="1"/>
  <c r="AL87" i="10" s="1"/>
  <c r="AL86" i="10" s="1"/>
  <c r="AL85" i="10" s="1"/>
  <c r="AL84" i="10" s="1"/>
  <c r="AL83" i="10" s="1"/>
  <c r="AL82" i="10" s="1"/>
  <c r="AL81" i="10" s="1"/>
  <c r="AL80" i="10" s="1"/>
  <c r="AL79" i="10" s="1"/>
  <c r="AL78" i="10" s="1"/>
  <c r="AL77" i="10" s="1"/>
  <c r="AL76" i="10" s="1"/>
  <c r="AL75" i="10" s="1"/>
  <c r="AL74" i="10" s="1"/>
  <c r="AL73" i="10" s="1"/>
  <c r="AL72" i="10" s="1"/>
  <c r="AL71" i="10" s="1"/>
  <c r="AL70" i="10" s="1"/>
  <c r="AL69" i="10" s="1"/>
  <c r="AL68" i="10" s="1"/>
  <c r="AL67" i="10" s="1"/>
  <c r="AL66" i="10" s="1"/>
  <c r="AL65" i="10" s="1"/>
  <c r="AL64" i="10" s="1"/>
  <c r="AL63" i="10" s="1"/>
  <c r="AL62" i="10" s="1"/>
  <c r="AL61" i="10" s="1"/>
  <c r="AL60" i="10" s="1"/>
  <c r="AL59" i="10" s="1"/>
  <c r="AL58" i="10" s="1"/>
  <c r="AL57" i="10" s="1"/>
  <c r="AL56" i="10" s="1"/>
  <c r="AL55" i="10" s="1"/>
  <c r="AL54" i="10" s="1"/>
  <c r="AL53" i="10" s="1"/>
  <c r="AL52" i="10" s="1"/>
  <c r="AL51" i="10" s="1"/>
  <c r="AL50" i="10" s="1"/>
  <c r="AL49" i="10" s="1"/>
  <c r="AL48" i="10" s="1"/>
  <c r="AL47" i="10" s="1"/>
  <c r="AL46" i="10" s="1"/>
  <c r="AL45" i="10" s="1"/>
  <c r="AL44" i="10" s="1"/>
  <c r="AL43" i="10" s="1"/>
  <c r="AL42" i="10" s="1"/>
  <c r="AL41" i="10" s="1"/>
  <c r="AL40" i="10" s="1"/>
  <c r="AL39" i="10" s="1"/>
  <c r="AL38" i="10" s="1"/>
  <c r="AL37" i="10" s="1"/>
  <c r="AL36" i="10" s="1"/>
  <c r="AL35" i="10" s="1"/>
  <c r="AL34" i="10" s="1"/>
  <c r="AL33" i="10" s="1"/>
  <c r="AL32" i="10" s="1"/>
  <c r="AL31" i="10" s="1"/>
  <c r="AL30" i="10" s="1"/>
  <c r="AL29" i="10" s="1"/>
  <c r="AL28" i="10" s="1"/>
  <c r="AL27" i="10" s="1"/>
  <c r="AL26" i="10" s="1"/>
  <c r="AL25" i="10" s="1"/>
  <c r="AL24" i="10" s="1"/>
  <c r="AL23" i="10" s="1"/>
  <c r="AL22" i="10" s="1"/>
  <c r="AL21" i="10" s="1"/>
  <c r="AL20" i="10" s="1"/>
  <c r="AL19" i="10" s="1"/>
  <c r="AL18" i="10" s="1"/>
  <c r="AL17" i="10" s="1"/>
  <c r="AL16" i="10" s="1"/>
  <c r="AL15" i="10" s="1"/>
  <c r="AL14" i="10" s="1"/>
  <c r="AL13" i="10" s="1"/>
  <c r="AL12" i="10" s="1"/>
  <c r="AL11" i="10" s="1"/>
  <c r="AL10" i="10" s="1"/>
  <c r="AL9" i="10" s="1"/>
  <c r="AL8" i="10" s="1"/>
  <c r="AL3" i="10" s="1"/>
  <c r="C125" i="3"/>
  <c r="E125" i="3" s="1"/>
  <c r="C126" i="3" l="1"/>
  <c r="E126" i="3" s="1"/>
  <c r="F126" i="3" s="1"/>
  <c r="F125" i="3" s="1"/>
  <c r="F124" i="3" s="1"/>
  <c r="F123" i="3" s="1"/>
  <c r="F122" i="3" s="1"/>
  <c r="F121" i="3" s="1"/>
  <c r="F120" i="3" s="1"/>
  <c r="F119" i="3" s="1"/>
  <c r="F118" i="3" s="1"/>
  <c r="F117" i="3" s="1"/>
  <c r="F116" i="3" s="1"/>
  <c r="F115" i="3" s="1"/>
  <c r="F114" i="3" s="1"/>
  <c r="F113" i="3" s="1"/>
  <c r="F112" i="3" s="1"/>
  <c r="F111" i="3" s="1"/>
  <c r="F110" i="3" s="1"/>
  <c r="F109" i="3" s="1"/>
  <c r="F108" i="3" s="1"/>
  <c r="F107" i="3" s="1"/>
  <c r="F106" i="3" s="1"/>
  <c r="F105" i="3" s="1"/>
  <c r="F104" i="3" s="1"/>
  <c r="F103" i="3" s="1"/>
  <c r="F102" i="3" s="1"/>
  <c r="F101" i="3" s="1"/>
  <c r="F100" i="3" s="1"/>
  <c r="F99" i="3" s="1"/>
  <c r="F98" i="3" s="1"/>
  <c r="F97" i="3" s="1"/>
  <c r="F96" i="3" s="1"/>
  <c r="F95" i="3" s="1"/>
  <c r="F94" i="3" s="1"/>
  <c r="F93" i="3" s="1"/>
  <c r="F92" i="3" s="1"/>
  <c r="F91" i="3" s="1"/>
  <c r="F90" i="3" s="1"/>
  <c r="F89" i="3" s="1"/>
  <c r="F88" i="3" s="1"/>
  <c r="F87" i="3" s="1"/>
  <c r="F86" i="3" s="1"/>
  <c r="F85" i="3" s="1"/>
  <c r="F84" i="3" s="1"/>
  <c r="F83" i="3" s="1"/>
  <c r="F82" i="3" s="1"/>
  <c r="F81" i="3" s="1"/>
  <c r="F80" i="3" s="1"/>
  <c r="F79" i="3" s="1"/>
  <c r="F78" i="3" s="1"/>
  <c r="F77" i="3" s="1"/>
  <c r="F76" i="3" s="1"/>
  <c r="F75" i="3" s="1"/>
  <c r="F74" i="3" s="1"/>
  <c r="F73" i="3" s="1"/>
  <c r="F72" i="3" s="1"/>
  <c r="F71" i="3" s="1"/>
  <c r="F70" i="3" s="1"/>
  <c r="F69" i="3" s="1"/>
  <c r="F68" i="3" s="1"/>
  <c r="F67" i="3" s="1"/>
  <c r="F66" i="3" s="1"/>
  <c r="F65" i="3" s="1"/>
  <c r="F64" i="3" s="1"/>
  <c r="F63" i="3" s="1"/>
  <c r="F62" i="3" s="1"/>
  <c r="F61" i="3" s="1"/>
  <c r="F60" i="3" s="1"/>
  <c r="F59" i="3" s="1"/>
  <c r="F58" i="3" s="1"/>
  <c r="F57" i="3" s="1"/>
  <c r="F56" i="3" s="1"/>
  <c r="F55" i="3" s="1"/>
  <c r="F54" i="3" s="1"/>
  <c r="F53" i="3" s="1"/>
  <c r="F52" i="3" s="1"/>
  <c r="F51" i="3" s="1"/>
  <c r="F50" i="3" s="1"/>
  <c r="F49" i="3" s="1"/>
  <c r="F48" i="3" s="1"/>
  <c r="F47" i="3" s="1"/>
  <c r="F46" i="3" s="1"/>
  <c r="F45" i="3" s="1"/>
  <c r="F44" i="3" s="1"/>
  <c r="F43" i="3" s="1"/>
  <c r="F42" i="3" s="1"/>
  <c r="F41" i="3" s="1"/>
  <c r="F40" i="3" s="1"/>
  <c r="F39" i="3" s="1"/>
  <c r="F38" i="3" s="1"/>
  <c r="F37" i="3" s="1"/>
  <c r="F36" i="3" s="1"/>
  <c r="F35" i="3" s="1"/>
  <c r="F34" i="3" s="1"/>
  <c r="F33" i="3" s="1"/>
  <c r="F32" i="3" s="1"/>
  <c r="F31" i="3" s="1"/>
  <c r="F30" i="3" s="1"/>
  <c r="F29" i="3" s="1"/>
  <c r="F28" i="3" s="1"/>
  <c r="F27" i="3" s="1"/>
  <c r="F26" i="3" s="1"/>
  <c r="F25" i="3" s="1"/>
  <c r="F24" i="3" s="1"/>
  <c r="F23" i="3" s="1"/>
  <c r="F22" i="3" s="1"/>
  <c r="F21" i="3" s="1"/>
  <c r="F20" i="3" s="1"/>
  <c r="F19" i="3" s="1"/>
  <c r="F18" i="3" s="1"/>
  <c r="F17" i="3" s="1"/>
  <c r="F16" i="3" s="1"/>
  <c r="F15" i="3" s="1"/>
  <c r="F14" i="3" s="1"/>
  <c r="F13" i="3" s="1"/>
  <c r="F12" i="3" s="1"/>
  <c r="F11" i="3" s="1"/>
  <c r="F10" i="3" s="1"/>
  <c r="F9" i="3" s="1"/>
  <c r="F8" i="3" s="1"/>
  <c r="F7" i="3" s="1"/>
  <c r="AJ3" i="2" l="1"/>
  <c r="AL4" i="10" l="1"/>
  <c r="F3" i="3" l="1"/>
  <c r="F4" i="3" l="1"/>
</calcChain>
</file>

<file path=xl/sharedStrings.xml><?xml version="1.0" encoding="utf-8"?>
<sst xmlns="http://schemas.openxmlformats.org/spreadsheetml/2006/main" count="118" uniqueCount="49">
  <si>
    <t>Year</t>
  </si>
  <si>
    <t>Base Price</t>
  </si>
  <si>
    <t>Net Cashflow</t>
  </si>
  <si>
    <t>CALCULATION OF BASE PRICE</t>
  </si>
  <si>
    <t>Month</t>
  </si>
  <si>
    <t>Route</t>
  </si>
  <si>
    <t>Annual growth rate</t>
  </si>
  <si>
    <t>Fixed expenses</t>
  </si>
  <si>
    <t>disc_rate</t>
  </si>
  <si>
    <t>fixed_exp</t>
  </si>
  <si>
    <t>Combined admin saving</t>
  </si>
  <si>
    <t>admin_saving</t>
  </si>
  <si>
    <t>Improvement costs</t>
  </si>
  <si>
    <t>imp_cost</t>
  </si>
  <si>
    <t>Refund increase</t>
  </si>
  <si>
    <t>refund_inc</t>
  </si>
  <si>
    <t>Monthly journeys @ 1/1/20</t>
  </si>
  <si>
    <t>Margin ($)</t>
  </si>
  <si>
    <t>Price per day ($)</t>
  </si>
  <si>
    <t>Timing of change (Year)</t>
  </si>
  <si>
    <t>onwards</t>
  </si>
  <si>
    <t>evenly spread over one year</t>
  </si>
  <si>
    <t>over the year</t>
  </si>
  <si>
    <t>admin_saving_year</t>
  </si>
  <si>
    <t>imp_cost_year</t>
  </si>
  <si>
    <t>refund_inc_year</t>
  </si>
  <si>
    <t>IMPACT OF INTRODUCING REDUCING FIXED EXPENSES</t>
  </si>
  <si>
    <t>Margin after refunds</t>
  </si>
  <si>
    <t>IMPACT OF CARRYING OUT IMPROVEMENT WORKS</t>
  </si>
  <si>
    <t>Monthly refund rate</t>
  </si>
  <si>
    <t>Revised price</t>
  </si>
  <si>
    <t>Total journeys</t>
  </si>
  <si>
    <t>Check</t>
  </si>
  <si>
    <t>PARAMETERS</t>
  </si>
  <si>
    <t>Number of journeys per month</t>
  </si>
  <si>
    <t>Total margin (before refunds)</t>
  </si>
  <si>
    <t>Number of journeys to be refunded</t>
  </si>
  <si>
    <t>Cost of refunds</t>
  </si>
  <si>
    <t>Total Expenses</t>
  </si>
  <si>
    <t>Improvement work expenses</t>
  </si>
  <si>
    <t>Margin positive</t>
  </si>
  <si>
    <t>Refund rate positive</t>
  </si>
  <si>
    <t>Total Net Income</t>
  </si>
  <si>
    <t>NPV (at start of month)</t>
  </si>
  <si>
    <t>Difference from base price</t>
  </si>
  <si>
    <t>Refund rate</t>
  </si>
  <si>
    <t>Current route details (June 2019):</t>
  </si>
  <si>
    <t>Required return</t>
  </si>
  <si>
    <t>Number of journeys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</si>
</sst>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0_-;\-* #,##0.00000_-;_-* &quot;-&quot;??_-;_-@_-"/>
    <numFmt numFmtId="166" formatCode="_-[$$-409]* #,##0_ ;_-[$$-409]* \-#,##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2" borderId="6" xfId="0" applyFill="1" applyBorder="1"/>
    <xf numFmtId="0" fontId="0" fillId="2" borderId="5" xfId="0" applyFill="1" applyBorder="1"/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Fill="1"/>
    <xf numFmtId="3" fontId="0" fillId="0" borderId="2" xfId="0" applyNumberFormat="1" applyBorder="1"/>
    <xf numFmtId="0" fontId="0" fillId="2" borderId="8" xfId="0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 indent="4"/>
    </xf>
    <xf numFmtId="0" fontId="6" fillId="0" borderId="0" xfId="0" applyFont="1"/>
    <xf numFmtId="0" fontId="6" fillId="0" borderId="0" xfId="0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3" fontId="6" fillId="0" borderId="0" xfId="0" applyNumberFormat="1" applyFont="1" applyBorder="1" applyAlignment="1">
      <alignment horizontal="right" vertical="top" wrapText="1"/>
    </xf>
    <xf numFmtId="9" fontId="6" fillId="0" borderId="0" xfId="0" applyNumberFormat="1" applyFont="1" applyBorder="1" applyAlignment="1">
      <alignment horizontal="center" vertical="top" wrapText="1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7" fillId="0" borderId="0" xfId="0" applyFont="1"/>
    <xf numFmtId="10" fontId="0" fillId="3" borderId="0" xfId="0" applyNumberFormat="1" applyFill="1"/>
    <xf numFmtId="0" fontId="0" fillId="3" borderId="0" xfId="0" applyFill="1"/>
    <xf numFmtId="9" fontId="0" fillId="3" borderId="0" xfId="0" applyNumberFormat="1" applyFill="1"/>
    <xf numFmtId="164" fontId="0" fillId="3" borderId="0" xfId="1" applyNumberFormat="1" applyFont="1" applyFill="1"/>
    <xf numFmtId="10" fontId="0" fillId="0" borderId="0" xfId="0" applyNumberFormat="1" applyFill="1"/>
    <xf numFmtId="164" fontId="0" fillId="0" borderId="0" xfId="1" applyNumberFormat="1" applyFont="1" applyFill="1"/>
    <xf numFmtId="9" fontId="0" fillId="0" borderId="0" xfId="0" applyNumberFormat="1" applyFill="1"/>
    <xf numFmtId="0" fontId="0" fillId="2" borderId="7" xfId="0" applyFill="1" applyBorder="1" applyAlignment="1">
      <alignment horizontal="right"/>
    </xf>
    <xf numFmtId="0" fontId="0" fillId="0" borderId="12" xfId="0" applyBorder="1"/>
    <xf numFmtId="165" fontId="4" fillId="0" borderId="0" xfId="1" applyNumberFormat="1" applyFont="1" applyFill="1" applyBorder="1"/>
    <xf numFmtId="3" fontId="0" fillId="4" borderId="4" xfId="0" applyNumberFormat="1" applyFill="1" applyBorder="1"/>
    <xf numFmtId="0" fontId="7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2" fillId="0" borderId="0" xfId="0" applyFont="1" applyAlignment="1"/>
    <xf numFmtId="0" fontId="8" fillId="6" borderId="11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6" fillId="6" borderId="13" xfId="0" applyFont="1" applyFill="1" applyBorder="1" applyAlignment="1">
      <alignment horizontal="center" vertical="top" wrapText="1"/>
    </xf>
    <xf numFmtId="3" fontId="9" fillId="6" borderId="7" xfId="0" applyNumberFormat="1" applyFont="1" applyFill="1" applyBorder="1" applyAlignment="1">
      <alignment vertical="center" wrapText="1"/>
    </xf>
    <xf numFmtId="9" fontId="9" fillId="6" borderId="7" xfId="0" applyNumberFormat="1" applyFont="1" applyFill="1" applyBorder="1" applyAlignment="1">
      <alignment vertical="center" wrapText="1"/>
    </xf>
    <xf numFmtId="3" fontId="9" fillId="6" borderId="10" xfId="0" applyNumberFormat="1" applyFont="1" applyFill="1" applyBorder="1" applyAlignment="1">
      <alignment vertical="center" wrapText="1"/>
    </xf>
    <xf numFmtId="9" fontId="9" fillId="6" borderId="10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164" fontId="9" fillId="0" borderId="7" xfId="1" applyNumberFormat="1" applyFont="1" applyFill="1" applyBorder="1" applyAlignment="1">
      <alignment vertical="center" wrapText="1"/>
    </xf>
    <xf numFmtId="164" fontId="2" fillId="0" borderId="0" xfId="0" applyNumberFormat="1" applyFont="1"/>
    <xf numFmtId="0" fontId="11" fillId="7" borderId="0" xfId="0" applyFont="1" applyFill="1"/>
    <xf numFmtId="9" fontId="11" fillId="7" borderId="0" xfId="2" applyFont="1" applyFill="1"/>
    <xf numFmtId="9" fontId="11" fillId="7" borderId="0" xfId="2" applyFont="1" applyFill="1" applyAlignment="1">
      <alignment horizontal="right"/>
    </xf>
    <xf numFmtId="0" fontId="7" fillId="0" borderId="0" xfId="0" applyFont="1" applyFill="1"/>
    <xf numFmtId="1" fontId="4" fillId="0" borderId="0" xfId="0" applyNumberFormat="1" applyFont="1" applyFill="1" applyBorder="1"/>
    <xf numFmtId="166" fontId="0" fillId="0" borderId="0" xfId="0" applyNumberFormat="1" applyFill="1" applyBorder="1"/>
    <xf numFmtId="166" fontId="0" fillId="0" borderId="0" xfId="0" applyNumberFormat="1" applyBorder="1"/>
    <xf numFmtId="166" fontId="0" fillId="0" borderId="2" xfId="0" applyNumberFormat="1" applyBorder="1"/>
    <xf numFmtId="166" fontId="0" fillId="0" borderId="12" xfId="0" applyNumberFormat="1" applyBorder="1"/>
    <xf numFmtId="166" fontId="0" fillId="0" borderId="1" xfId="0" applyNumberFormat="1" applyFill="1" applyBorder="1"/>
    <xf numFmtId="165" fontId="4" fillId="0" borderId="1" xfId="1" applyNumberFormat="1" applyFont="1" applyFill="1" applyBorder="1"/>
    <xf numFmtId="1" fontId="4" fillId="0" borderId="1" xfId="0" applyNumberFormat="1" applyFont="1" applyFill="1" applyBorder="1"/>
    <xf numFmtId="0" fontId="0" fillId="2" borderId="4" xfId="0" applyFill="1" applyBorder="1" applyAlignment="1">
      <alignment horizontal="center"/>
    </xf>
    <xf numFmtId="2" fontId="9" fillId="6" borderId="11" xfId="0" applyNumberFormat="1" applyFont="1" applyFill="1" applyBorder="1" applyAlignment="1">
      <alignment vertical="center" wrapText="1"/>
    </xf>
    <xf numFmtId="2" fontId="9" fillId="6" borderId="7" xfId="0" applyNumberFormat="1" applyFont="1" applyFill="1" applyBorder="1" applyAlignment="1">
      <alignment vertical="center" wrapText="1"/>
    </xf>
    <xf numFmtId="2" fontId="9" fillId="6" borderId="13" xfId="0" applyNumberFormat="1" applyFont="1" applyFill="1" applyBorder="1" applyAlignment="1">
      <alignment vertical="center" wrapText="1"/>
    </xf>
    <xf numFmtId="2" fontId="9" fillId="6" borderId="10" xfId="0" applyNumberFormat="1" applyFont="1" applyFill="1" applyBorder="1" applyAlignment="1">
      <alignment vertical="center" wrapText="1"/>
    </xf>
    <xf numFmtId="0" fontId="12" fillId="7" borderId="0" xfId="0" applyFont="1" applyFill="1" applyAlignment="1">
      <alignment wrapText="1"/>
    </xf>
    <xf numFmtId="166" fontId="0" fillId="0" borderId="1" xfId="0" applyNumberFormat="1" applyBorder="1"/>
    <xf numFmtId="166" fontId="0" fillId="0" borderId="10" xfId="0" applyNumberFormat="1" applyBorder="1"/>
    <xf numFmtId="166" fontId="0" fillId="0" borderId="3" xfId="0" applyNumberFormat="1" applyBorder="1"/>
    <xf numFmtId="166" fontId="0" fillId="0" borderId="0" xfId="3" applyNumberFormat="1" applyFont="1" applyFill="1" applyBorder="1"/>
    <xf numFmtId="166" fontId="0" fillId="0" borderId="1" xfId="3" applyNumberFormat="1" applyFont="1" applyFill="1" applyBorder="1"/>
    <xf numFmtId="166" fontId="0" fillId="0" borderId="6" xfId="0" applyNumberFormat="1" applyFill="1" applyBorder="1"/>
    <xf numFmtId="165" fontId="4" fillId="0" borderId="6" xfId="1" applyNumberFormat="1" applyFont="1" applyFill="1" applyBorder="1"/>
    <xf numFmtId="1" fontId="4" fillId="0" borderId="6" xfId="0" applyNumberFormat="1" applyFont="1" applyFill="1" applyBorder="1"/>
    <xf numFmtId="166" fontId="0" fillId="0" borderId="6" xfId="3" applyNumberFormat="1" applyFont="1" applyFill="1" applyBorder="1"/>
    <xf numFmtId="166" fontId="0" fillId="0" borderId="5" xfId="3" applyNumberFormat="1" applyFont="1" applyFill="1" applyBorder="1"/>
    <xf numFmtId="166" fontId="0" fillId="0" borderId="12" xfId="3" applyNumberFormat="1" applyFont="1" applyFill="1" applyBorder="1"/>
    <xf numFmtId="166" fontId="0" fillId="0" borderId="10" xfId="3" applyNumberFormat="1" applyFont="1" applyFill="1" applyBorder="1"/>
    <xf numFmtId="166" fontId="0" fillId="0" borderId="6" xfId="0" applyNumberFormat="1" applyBorder="1"/>
    <xf numFmtId="166" fontId="0" fillId="0" borderId="5" xfId="0" applyNumberFormat="1" applyBorder="1"/>
    <xf numFmtId="166" fontId="0" fillId="0" borderId="4" xfId="0" applyNumberFormat="1" applyBorder="1"/>
    <xf numFmtId="166" fontId="3" fillId="5" borderId="0" xfId="1" applyNumberFormat="1" applyFont="1" applyFill="1"/>
    <xf numFmtId="166" fontId="3" fillId="0" borderId="0" xfId="1" applyNumberFormat="1" applyFont="1" applyFill="1"/>
    <xf numFmtId="166" fontId="0" fillId="0" borderId="0" xfId="0" applyNumberFormat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CE%20review/CP2%20Mock%20Exam%202%20Paper%202%20spreadsheet%202019%20v2%20+%20LCE%20-%20question%20attem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arameters"/>
      <sheetName val="Base Price"/>
      <sheetName val="Combined Admin"/>
      <sheetName val="Improvement works"/>
      <sheetName val="Summary"/>
      <sheetName val="Charts"/>
    </sheetNames>
    <sheetDataSet>
      <sheetData sheetId="0"/>
      <sheetData sheetId="1">
        <row r="9">
          <cell r="C9">
            <v>580525.55971090472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>
      <selection activeCell="A11" sqref="A11"/>
    </sheetView>
  </sheetViews>
  <sheetFormatPr defaultColWidth="9.140625" defaultRowHeight="15" x14ac:dyDescent="0.25"/>
  <cols>
    <col min="1" max="1" width="21.42578125" style="15" customWidth="1"/>
    <col min="2" max="2" width="14.7109375" style="15" bestFit="1" customWidth="1"/>
    <col min="3" max="3" width="11.42578125" style="15" customWidth="1"/>
    <col min="4" max="4" width="12.5703125" style="15" customWidth="1"/>
    <col min="5" max="5" width="13" style="15" customWidth="1"/>
    <col min="6" max="7" width="16.7109375" style="15" customWidth="1"/>
    <col min="8" max="8" width="9.140625" style="15"/>
    <col min="9" max="9" width="18.85546875" style="15" bestFit="1" customWidth="1"/>
    <col min="10" max="10" width="22.5703125" style="15" bestFit="1" customWidth="1"/>
    <col min="11" max="16384" width="9.140625" style="15"/>
  </cols>
  <sheetData>
    <row r="1" spans="1:10" s="16" customFormat="1" x14ac:dyDescent="0.25">
      <c r="A1" s="43" t="s">
        <v>46</v>
      </c>
      <c r="B1" s="15"/>
      <c r="C1" s="15"/>
      <c r="D1" s="15"/>
      <c r="E1" s="15"/>
      <c r="F1" s="15"/>
      <c r="G1" s="15"/>
    </row>
    <row r="2" spans="1:10" s="16" customFormat="1" ht="15.75" thickBot="1" x14ac:dyDescent="0.3">
      <c r="A2" s="17"/>
    </row>
    <row r="3" spans="1:10" s="18" customFormat="1" ht="26.25" thickBot="1" x14ac:dyDescent="0.3">
      <c r="A3" s="44" t="s">
        <v>5</v>
      </c>
      <c r="B3" s="45" t="s">
        <v>18</v>
      </c>
      <c r="C3" s="45" t="s">
        <v>17</v>
      </c>
      <c r="D3" s="45" t="s">
        <v>48</v>
      </c>
      <c r="E3" s="45" t="s">
        <v>45</v>
      </c>
      <c r="F3" s="45" t="s">
        <v>6</v>
      </c>
      <c r="G3" s="51" t="s">
        <v>16</v>
      </c>
      <c r="I3" s="71" t="s">
        <v>40</v>
      </c>
      <c r="J3" s="71" t="s">
        <v>41</v>
      </c>
    </row>
    <row r="4" spans="1:10" s="18" customFormat="1" ht="15.75" thickBot="1" x14ac:dyDescent="0.3">
      <c r="A4" s="46">
        <v>1</v>
      </c>
      <c r="B4" s="67">
        <v>5</v>
      </c>
      <c r="C4" s="68">
        <v>0.5</v>
      </c>
      <c r="D4" s="47">
        <v>4500</v>
      </c>
      <c r="E4" s="48">
        <v>7.0000000000000007E-2</v>
      </c>
      <c r="F4" s="48">
        <v>0.02</v>
      </c>
      <c r="G4" s="52">
        <f>D4*(1+F4)^(1/2)</f>
        <v>4544.7772222629355</v>
      </c>
      <c r="I4" s="56" t="str">
        <f>IF(C4&gt;0,"OK, margin positive","Check, margin negative")</f>
        <v>OK, margin positive</v>
      </c>
      <c r="J4" s="56" t="str">
        <f>IF(E4&gt;0,"OK, refund rate positive","Check, refund rate negative")</f>
        <v>OK, refund rate positive</v>
      </c>
    </row>
    <row r="5" spans="1:10" s="18" customFormat="1" ht="15.75" thickBot="1" x14ac:dyDescent="0.3">
      <c r="A5" s="46">
        <v>2</v>
      </c>
      <c r="B5" s="69">
        <v>6</v>
      </c>
      <c r="C5" s="70">
        <v>0.3</v>
      </c>
      <c r="D5" s="49">
        <v>9000</v>
      </c>
      <c r="E5" s="50">
        <v>0.06</v>
      </c>
      <c r="F5" s="50">
        <v>0.01</v>
      </c>
      <c r="G5" s="52">
        <f t="shared" ref="G5:G8" si="0">D5*(1+F5)^(1/2)</f>
        <v>9044.8880590088011</v>
      </c>
      <c r="I5" s="56" t="str">
        <f t="shared" ref="I5:I8" si="1">IF(C5&gt;0,"OK, margin positive","Check, margin negative")</f>
        <v>OK, margin positive</v>
      </c>
      <c r="J5" s="56" t="str">
        <f t="shared" ref="J5:J8" si="2">IF(E5&gt;0,"OK, refund rate positive","Check, refund rate negative")</f>
        <v>OK, refund rate positive</v>
      </c>
    </row>
    <row r="6" spans="1:10" s="18" customFormat="1" ht="15.75" thickBot="1" x14ac:dyDescent="0.3">
      <c r="A6" s="46">
        <v>3</v>
      </c>
      <c r="B6" s="69">
        <v>7.5</v>
      </c>
      <c r="C6" s="70">
        <v>1</v>
      </c>
      <c r="D6" s="49">
        <v>7500</v>
      </c>
      <c r="E6" s="50">
        <v>0.05</v>
      </c>
      <c r="F6" s="50">
        <v>0.05</v>
      </c>
      <c r="G6" s="52">
        <f t="shared" si="0"/>
        <v>7685.2130744696997</v>
      </c>
      <c r="I6" s="56" t="str">
        <f t="shared" si="1"/>
        <v>OK, margin positive</v>
      </c>
      <c r="J6" s="56" t="str">
        <f t="shared" si="2"/>
        <v>OK, refund rate positive</v>
      </c>
    </row>
    <row r="7" spans="1:10" s="18" customFormat="1" ht="15.75" thickBot="1" x14ac:dyDescent="0.3">
      <c r="A7" s="46">
        <v>4</v>
      </c>
      <c r="B7" s="69">
        <v>8.5</v>
      </c>
      <c r="C7" s="70">
        <v>2.5</v>
      </c>
      <c r="D7" s="49">
        <v>10500</v>
      </c>
      <c r="E7" s="50">
        <v>7.0000000000000007E-2</v>
      </c>
      <c r="F7" s="50">
        <v>0.02</v>
      </c>
      <c r="G7" s="52">
        <f t="shared" si="0"/>
        <v>10604.480185280183</v>
      </c>
      <c r="I7" s="56" t="str">
        <f t="shared" si="1"/>
        <v>OK, margin positive</v>
      </c>
      <c r="J7" s="56" t="str">
        <f t="shared" si="2"/>
        <v>OK, refund rate positive</v>
      </c>
    </row>
    <row r="8" spans="1:10" s="18" customFormat="1" ht="15.75" thickBot="1" x14ac:dyDescent="0.3">
      <c r="A8" s="46">
        <v>5</v>
      </c>
      <c r="B8" s="69">
        <v>10</v>
      </c>
      <c r="C8" s="70">
        <v>2.75</v>
      </c>
      <c r="D8" s="49">
        <v>9800</v>
      </c>
      <c r="E8" s="50">
        <v>0.08</v>
      </c>
      <c r="F8" s="50">
        <v>0.03</v>
      </c>
      <c r="G8" s="52">
        <f t="shared" si="0"/>
        <v>9945.9137337903758</v>
      </c>
      <c r="I8" s="56" t="str">
        <f t="shared" si="1"/>
        <v>OK, margin positive</v>
      </c>
      <c r="J8" s="56" t="str">
        <f t="shared" si="2"/>
        <v>OK, refund rate positive</v>
      </c>
    </row>
    <row r="9" spans="1:10" s="18" customFormat="1" x14ac:dyDescent="0.25">
      <c r="A9" s="19"/>
      <c r="B9" s="19"/>
      <c r="C9" s="20"/>
      <c r="D9" s="21"/>
      <c r="E9" s="22"/>
      <c r="F9" s="22"/>
      <c r="G9" s="22"/>
    </row>
    <row r="10" spans="1:10" x14ac:dyDescent="0.25">
      <c r="F10" s="1" t="s">
        <v>31</v>
      </c>
      <c r="G10" s="53">
        <f>SUM(G4:G8)</f>
        <v>41825.272274811992</v>
      </c>
    </row>
    <row r="11" spans="1:10" x14ac:dyDescent="0.25">
      <c r="F11" s="54" t="s">
        <v>32</v>
      </c>
      <c r="G11" s="55">
        <f>G10/(SUM(D4:D8)*(1+AVERAGE(F4:F8)))</f>
        <v>0.98705502633259201</v>
      </c>
    </row>
    <row r="12" spans="1:10" x14ac:dyDescent="0.25">
      <c r="G12" s="56" t="str">
        <f>IF(OR(G11&lt;0.95,G11&gt;1.05),"Check rolled forward journeys","Check OK")</f>
        <v>Check OK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B1" sqref="B1"/>
    </sheetView>
  </sheetViews>
  <sheetFormatPr defaultRowHeight="15" x14ac:dyDescent="0.25"/>
  <cols>
    <col min="1" max="1" width="36.7109375" bestFit="1" customWidth="1"/>
    <col min="2" max="3" width="13.28515625" bestFit="1" customWidth="1"/>
    <col min="4" max="4" width="4.28515625" style="10" customWidth="1"/>
    <col min="5" max="5" width="18.28515625" bestFit="1" customWidth="1"/>
    <col min="6" max="6" width="22.140625" bestFit="1" customWidth="1"/>
  </cols>
  <sheetData>
    <row r="1" spans="1:7" x14ac:dyDescent="0.25">
      <c r="A1" s="1" t="s">
        <v>33</v>
      </c>
    </row>
    <row r="4" spans="1:7" x14ac:dyDescent="0.25">
      <c r="A4" s="27" t="s">
        <v>47</v>
      </c>
      <c r="B4" t="s">
        <v>8</v>
      </c>
      <c r="C4" s="28">
        <v>7.4999999999999997E-2</v>
      </c>
      <c r="D4" s="32"/>
    </row>
    <row r="5" spans="1:7" x14ac:dyDescent="0.25">
      <c r="A5" s="27" t="s">
        <v>7</v>
      </c>
      <c r="B5" t="s">
        <v>9</v>
      </c>
      <c r="C5" s="31">
        <v>35000</v>
      </c>
      <c r="D5" s="33"/>
      <c r="F5" s="27" t="s">
        <v>19</v>
      </c>
    </row>
    <row r="6" spans="1:7" x14ac:dyDescent="0.25">
      <c r="A6" s="27" t="s">
        <v>10</v>
      </c>
      <c r="B6" t="s">
        <v>11</v>
      </c>
      <c r="C6" s="30">
        <v>0.5</v>
      </c>
      <c r="D6" s="34"/>
      <c r="E6" t="s">
        <v>23</v>
      </c>
      <c r="F6" s="29">
        <v>2</v>
      </c>
      <c r="G6" t="s">
        <v>20</v>
      </c>
    </row>
    <row r="7" spans="1:7" x14ac:dyDescent="0.25">
      <c r="A7" s="27" t="s">
        <v>12</v>
      </c>
      <c r="B7" t="s">
        <v>13</v>
      </c>
      <c r="C7" s="31">
        <v>1600000</v>
      </c>
      <c r="D7" s="33"/>
      <c r="E7" t="s">
        <v>24</v>
      </c>
      <c r="F7" s="29">
        <v>3</v>
      </c>
      <c r="G7" t="s">
        <v>21</v>
      </c>
    </row>
    <row r="8" spans="1:7" x14ac:dyDescent="0.25">
      <c r="A8" s="27" t="s">
        <v>14</v>
      </c>
      <c r="B8" t="s">
        <v>15</v>
      </c>
      <c r="C8" s="30">
        <v>0.05</v>
      </c>
      <c r="D8" s="34"/>
      <c r="E8" t="s">
        <v>25</v>
      </c>
      <c r="F8" s="29">
        <v>3</v>
      </c>
      <c r="G8" t="s">
        <v>22</v>
      </c>
    </row>
    <row r="9" spans="1:7" x14ac:dyDescent="0.25">
      <c r="A9" s="57"/>
      <c r="B9" s="10"/>
      <c r="C9" s="34"/>
    </row>
    <row r="10" spans="1:7" x14ac:dyDescent="0.25">
      <c r="A10" s="57"/>
      <c r="B10" s="10"/>
      <c r="C10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27"/>
  <sheetViews>
    <sheetView zoomScaleNormal="100" workbookViewId="0">
      <selection activeCell="A3" sqref="A3"/>
    </sheetView>
  </sheetViews>
  <sheetFormatPr defaultColWidth="9.140625" defaultRowHeight="15" x14ac:dyDescent="0.25"/>
  <cols>
    <col min="1" max="2" width="8.85546875" customWidth="1"/>
    <col min="3" max="32" width="14.7109375" customWidth="1"/>
    <col min="33" max="35" width="11.28515625" bestFit="1" customWidth="1"/>
    <col min="36" max="36" width="14.5703125" bestFit="1" customWidth="1"/>
    <col min="37" max="16384" width="9.140625" style="10"/>
  </cols>
  <sheetData>
    <row r="1" spans="1:36" x14ac:dyDescent="0.25">
      <c r="A1" s="1" t="s">
        <v>3</v>
      </c>
      <c r="B1" s="1"/>
    </row>
    <row r="3" spans="1:36" x14ac:dyDescent="0.25">
      <c r="AI3" s="9" t="s">
        <v>1</v>
      </c>
      <c r="AJ3" s="87">
        <f>AJ8</f>
        <v>1309673.7469269526</v>
      </c>
    </row>
    <row r="5" spans="1:36" ht="15.75" thickBot="1" x14ac:dyDescent="0.3"/>
    <row r="6" spans="1:36" ht="15.75" customHeight="1" thickBot="1" x14ac:dyDescent="0.3">
      <c r="A6" s="23"/>
      <c r="B6" s="25"/>
      <c r="C6" s="90">
        <v>1</v>
      </c>
      <c r="D6" s="91"/>
      <c r="E6" s="91"/>
      <c r="F6" s="91"/>
      <c r="G6" s="91"/>
      <c r="H6" s="91"/>
      <c r="I6" s="90">
        <v>2</v>
      </c>
      <c r="J6" s="91"/>
      <c r="K6" s="91"/>
      <c r="L6" s="91"/>
      <c r="M6" s="91"/>
      <c r="N6" s="91"/>
      <c r="O6" s="90">
        <v>3</v>
      </c>
      <c r="P6" s="91"/>
      <c r="Q6" s="91"/>
      <c r="R6" s="91"/>
      <c r="S6" s="91"/>
      <c r="T6" s="91"/>
      <c r="U6" s="90">
        <v>4</v>
      </c>
      <c r="V6" s="91"/>
      <c r="W6" s="91"/>
      <c r="X6" s="91"/>
      <c r="Y6" s="91"/>
      <c r="Z6" s="91"/>
      <c r="AA6" s="90">
        <v>5</v>
      </c>
      <c r="AB6" s="91"/>
      <c r="AC6" s="91"/>
      <c r="AD6" s="91"/>
      <c r="AE6" s="91"/>
      <c r="AF6" s="91"/>
      <c r="AG6" s="66"/>
      <c r="AH6" s="4"/>
      <c r="AI6" s="4"/>
      <c r="AJ6" s="5"/>
    </row>
    <row r="7" spans="1:36" ht="45.75" thickBot="1" x14ac:dyDescent="0.3">
      <c r="A7" s="12" t="s">
        <v>4</v>
      </c>
      <c r="B7" s="35" t="s">
        <v>0</v>
      </c>
      <c r="C7" s="6" t="s">
        <v>34</v>
      </c>
      <c r="D7" s="7" t="s">
        <v>35</v>
      </c>
      <c r="E7" s="7" t="s">
        <v>29</v>
      </c>
      <c r="F7" s="7" t="s">
        <v>36</v>
      </c>
      <c r="G7" s="7" t="s">
        <v>37</v>
      </c>
      <c r="H7" s="7" t="s">
        <v>27</v>
      </c>
      <c r="I7" s="6" t="s">
        <v>34</v>
      </c>
      <c r="J7" s="7" t="s">
        <v>35</v>
      </c>
      <c r="K7" s="7" t="s">
        <v>29</v>
      </c>
      <c r="L7" s="7" t="s">
        <v>36</v>
      </c>
      <c r="M7" s="7" t="s">
        <v>37</v>
      </c>
      <c r="N7" s="7" t="s">
        <v>27</v>
      </c>
      <c r="O7" s="6" t="s">
        <v>34</v>
      </c>
      <c r="P7" s="7" t="s">
        <v>35</v>
      </c>
      <c r="Q7" s="7" t="s">
        <v>29</v>
      </c>
      <c r="R7" s="7" t="s">
        <v>36</v>
      </c>
      <c r="S7" s="7" t="s">
        <v>37</v>
      </c>
      <c r="T7" s="7" t="s">
        <v>27</v>
      </c>
      <c r="U7" s="6" t="s">
        <v>34</v>
      </c>
      <c r="V7" s="7" t="s">
        <v>35</v>
      </c>
      <c r="W7" s="7" t="s">
        <v>29</v>
      </c>
      <c r="X7" s="7" t="s">
        <v>36</v>
      </c>
      <c r="Y7" s="7" t="s">
        <v>37</v>
      </c>
      <c r="Z7" s="7" t="s">
        <v>27</v>
      </c>
      <c r="AA7" s="6" t="s">
        <v>34</v>
      </c>
      <c r="AB7" s="7" t="s">
        <v>35</v>
      </c>
      <c r="AC7" s="7" t="s">
        <v>29</v>
      </c>
      <c r="AD7" s="7" t="s">
        <v>36</v>
      </c>
      <c r="AE7" s="7" t="s">
        <v>37</v>
      </c>
      <c r="AF7" s="7" t="s">
        <v>27</v>
      </c>
      <c r="AG7" s="14" t="s">
        <v>42</v>
      </c>
      <c r="AH7" s="13" t="s">
        <v>38</v>
      </c>
      <c r="AI7" s="13" t="s">
        <v>2</v>
      </c>
      <c r="AJ7" s="26" t="s">
        <v>43</v>
      </c>
    </row>
    <row r="8" spans="1:36" x14ac:dyDescent="0.25">
      <c r="A8" s="40">
        <v>1</v>
      </c>
      <c r="B8" s="41">
        <f>ROUNDUP(MAX((A8)/12,0),0)</f>
        <v>1</v>
      </c>
      <c r="C8" s="38">
        <f>VLOOKUP(C$6, Data!$A$3:$G$8, 7, 0)</f>
        <v>4544.7772222629355</v>
      </c>
      <c r="D8" s="77">
        <f>C8*VLOOKUP(C$6,Data!$A$4:$G$8,3,FALSE)</f>
        <v>2272.3886111314678</v>
      </c>
      <c r="E8" s="78">
        <f>VLOOKUP(C$6,Data!$A$3:$G$8,5,FALSE)</f>
        <v>7.0000000000000007E-2</v>
      </c>
      <c r="F8" s="79">
        <f>C8*E8</f>
        <v>318.13440555840549</v>
      </c>
      <c r="G8" s="80">
        <f>F8*VLOOKUP(C$6,Data!$A$4:$G$8,2,FALSE)</f>
        <v>1590.6720277920274</v>
      </c>
      <c r="H8" s="80">
        <f>D8-G8</f>
        <v>681.71658333944038</v>
      </c>
      <c r="I8" s="38">
        <f>VLOOKUP(I$6, Data!$A$3:$G$8, 7, 0)</f>
        <v>9044.8880590088011</v>
      </c>
      <c r="J8" s="77">
        <f>I8*VLOOKUP(I$6,Data!$A$4:$G$8,3,FALSE)</f>
        <v>2713.4664177026402</v>
      </c>
      <c r="K8" s="78">
        <f>VLOOKUP(I$6,Data!$A$3:$G$8,5,FALSE)</f>
        <v>0.06</v>
      </c>
      <c r="L8" s="79">
        <f>I8*K8</f>
        <v>542.693283540528</v>
      </c>
      <c r="M8" s="80">
        <f>L8*VLOOKUP(I$6,Data!$A$4:$G$8,2,FALSE)</f>
        <v>3256.159701243168</v>
      </c>
      <c r="N8" s="80">
        <f>J8-M8</f>
        <v>-542.69328354052777</v>
      </c>
      <c r="O8" s="38">
        <f>VLOOKUP(O$6, Data!$A$3:$G$8, 7, 0)</f>
        <v>7685.2130744696997</v>
      </c>
      <c r="P8" s="77">
        <f>O8*VLOOKUP(O$6,Data!$A$4:$G$8,3,FALSE)</f>
        <v>7685.2130744696997</v>
      </c>
      <c r="Q8" s="78">
        <f>VLOOKUP(O$6,Data!$A$3:$G$8,5,FALSE)</f>
        <v>0.05</v>
      </c>
      <c r="R8" s="79">
        <f>O8*Q8</f>
        <v>384.26065372348501</v>
      </c>
      <c r="S8" s="80">
        <f>R8*VLOOKUP(O$6,Data!$A$4:$G$8,2,FALSE)</f>
        <v>2881.9549029261375</v>
      </c>
      <c r="T8" s="80">
        <f>P8-S8</f>
        <v>4803.2581715435626</v>
      </c>
      <c r="U8" s="38">
        <f>VLOOKUP(U$6, Data!$A$3:$G$8, 7, 0)</f>
        <v>10604.480185280183</v>
      </c>
      <c r="V8" s="77">
        <f>U8*VLOOKUP(U$6,Data!$A$4:$G$8,3,FALSE)</f>
        <v>26511.200463200457</v>
      </c>
      <c r="W8" s="78">
        <f>VLOOKUP(U$6,Data!$A$3:$G$8,5,FALSE)</f>
        <v>7.0000000000000007E-2</v>
      </c>
      <c r="X8" s="79">
        <f>U8*W8</f>
        <v>742.3136129696129</v>
      </c>
      <c r="Y8" s="80">
        <f>X8*VLOOKUP(U$6,Data!$A$4:$G$8,2,FALSE)</f>
        <v>6309.6657102417093</v>
      </c>
      <c r="Z8" s="81">
        <f>V8-Y8</f>
        <v>20201.534752958749</v>
      </c>
      <c r="AA8" s="38">
        <f>VLOOKUP(AA$6, Data!$A$3:$G$8, 7, 0)</f>
        <v>9945.9137337903758</v>
      </c>
      <c r="AB8" s="77">
        <f>AA8*VLOOKUP(AA$6,Data!$A$4:$G$8,3,FALSE)</f>
        <v>27351.262767923534</v>
      </c>
      <c r="AC8" s="78">
        <f>VLOOKUP(AA$6,Data!$A$3:$G$8,5,FALSE)</f>
        <v>0.08</v>
      </c>
      <c r="AD8" s="79">
        <f>AA8*AC8</f>
        <v>795.67309870323004</v>
      </c>
      <c r="AE8" s="80">
        <f>AD8*VLOOKUP(AA$6,Data!$A$4:$G$8,2,FALSE)</f>
        <v>7956.7309870323006</v>
      </c>
      <c r="AF8" s="81">
        <f>AB8-AE8</f>
        <v>19394.531780891233</v>
      </c>
      <c r="AG8" s="86">
        <f>H8+N8+T8+Z8+AF8</f>
        <v>44538.348005192456</v>
      </c>
      <c r="AH8" s="84">
        <f t="shared" ref="AH8:AH39" si="0">fixed_exp</f>
        <v>35000</v>
      </c>
      <c r="AI8" s="84">
        <f>AG8-AH8</f>
        <v>9538.3480051924562</v>
      </c>
      <c r="AJ8" s="85">
        <f t="shared" ref="AJ8:AJ39" si="1">(AI8+AJ9)/(1+disc_rate)^(1/12)</f>
        <v>1309673.7469269526</v>
      </c>
    </row>
    <row r="9" spans="1:36" x14ac:dyDescent="0.25">
      <c r="A9" s="2">
        <v>2</v>
      </c>
      <c r="B9" s="36">
        <f t="shared" ref="B9:B72" si="2">ROUNDUP(MAX((A9)/12,0),0)</f>
        <v>1</v>
      </c>
      <c r="C9" s="11">
        <f>C8*(1+VLOOKUP(C$6,Data!$A$3:$G$8,6,0))^(1/12)</f>
        <v>4552.2832913446182</v>
      </c>
      <c r="D9" s="59">
        <f>C9*VLOOKUP(C$6,Data!$A$4:$G$8,3,FALSE)</f>
        <v>2276.1416456723091</v>
      </c>
      <c r="E9" s="37">
        <f>VLOOKUP(C$6,Data!$A$3:$G$8,5,FALSE)</f>
        <v>7.0000000000000007E-2</v>
      </c>
      <c r="F9" s="58">
        <f t="shared" ref="F9:F72" si="3">C9*E9</f>
        <v>318.65983039412328</v>
      </c>
      <c r="G9" s="75">
        <f>F9*VLOOKUP(C$6,Data!$A$4:$G$8,2,FALSE)</f>
        <v>1593.2991519706163</v>
      </c>
      <c r="H9" s="75">
        <f t="shared" ref="H9:H72" si="4">D9-G9</f>
        <v>682.84249370169277</v>
      </c>
      <c r="I9" s="11">
        <f>I8*(1+VLOOKUP(I$6,Data!$A$3:$G$8,6,0))^(1/12)</f>
        <v>9052.3911383937429</v>
      </c>
      <c r="J9" s="59">
        <f>I9*VLOOKUP(I$6,Data!$A$4:$G$8,3,FALSE)</f>
        <v>2715.7173415181228</v>
      </c>
      <c r="K9" s="37">
        <f>VLOOKUP(I$6,Data!$A$3:$G$8,5,FALSE)</f>
        <v>0.06</v>
      </c>
      <c r="L9" s="58">
        <f t="shared" ref="L9:L72" si="5">I9*K9</f>
        <v>543.14346830362456</v>
      </c>
      <c r="M9" s="75">
        <f>L9*VLOOKUP(I$6,Data!$A$4:$G$8,2,FALSE)</f>
        <v>3258.8608098217474</v>
      </c>
      <c r="N9" s="75">
        <f t="shared" ref="N9:N72" si="6">J9-M9</f>
        <v>-543.14346830362456</v>
      </c>
      <c r="O9" s="11">
        <f>O8*(1+VLOOKUP(O$6,Data!$A$3:$G$8,6,0))^(1/12)</f>
        <v>7716.5235838388016</v>
      </c>
      <c r="P9" s="59">
        <f>O9*VLOOKUP(O$6,Data!$A$4:$G$8,3,FALSE)</f>
        <v>7716.5235838388016</v>
      </c>
      <c r="Q9" s="37">
        <f>VLOOKUP(O$6,Data!$A$3:$G$8,5,FALSE)</f>
        <v>0.05</v>
      </c>
      <c r="R9" s="58">
        <f t="shared" ref="R9:R72" si="7">O9*Q9</f>
        <v>385.82617919194013</v>
      </c>
      <c r="S9" s="75">
        <f>R9*VLOOKUP(O$6,Data!$A$4:$G$8,2,FALSE)</f>
        <v>2893.6963439395508</v>
      </c>
      <c r="T9" s="75">
        <f t="shared" ref="T9:T72" si="8">P9-S9</f>
        <v>4822.8272398992503</v>
      </c>
      <c r="U9" s="11">
        <f>U8*(1+VLOOKUP(U$6,Data!$A$3:$G$8,6,0))^(1/12)</f>
        <v>10621.994346470776</v>
      </c>
      <c r="V9" s="59">
        <f>U9*VLOOKUP(U$6,Data!$A$4:$G$8,3,FALSE)</f>
        <v>26554.985866176939</v>
      </c>
      <c r="W9" s="37">
        <f>VLOOKUP(U$6,Data!$A$3:$G$8,5,FALSE)</f>
        <v>7.0000000000000007E-2</v>
      </c>
      <c r="X9" s="58">
        <f t="shared" ref="X9:X72" si="9">U9*W9</f>
        <v>743.5396042529544</v>
      </c>
      <c r="Y9" s="75">
        <f>X9*VLOOKUP(U$6,Data!$A$4:$G$8,2,FALSE)</f>
        <v>6320.0866361501121</v>
      </c>
      <c r="Z9" s="82">
        <f t="shared" ref="Z9:Z72" si="10">V9-Y9</f>
        <v>20234.899230026829</v>
      </c>
      <c r="AA9" s="11">
        <f>AA8*(1+VLOOKUP(AA$6,Data!$A$3:$G$8,6,0))^(1/12)</f>
        <v>9970.4430401899626</v>
      </c>
      <c r="AB9" s="59">
        <f>AA9*VLOOKUP(AA$6,Data!$A$4:$G$8,3,FALSE)</f>
        <v>27418.718360522398</v>
      </c>
      <c r="AC9" s="37">
        <f>VLOOKUP(AA$6,Data!$A$3:$G$8,5,FALSE)</f>
        <v>0.08</v>
      </c>
      <c r="AD9" s="58">
        <f t="shared" ref="AD9:AD72" si="11">AA9*AC9</f>
        <v>797.63544321519703</v>
      </c>
      <c r="AE9" s="75">
        <f>AD9*VLOOKUP(AA$6,Data!$A$4:$G$8,2,FALSE)</f>
        <v>7976.3544321519703</v>
      </c>
      <c r="AF9" s="82">
        <f t="shared" ref="AF9:AF72" si="12">AB9-AE9</f>
        <v>19442.363928370429</v>
      </c>
      <c r="AG9" s="61">
        <f t="shared" ref="AG9:AG72" si="13">H9+N9+T9+Z9+AF9</f>
        <v>44639.789423694572</v>
      </c>
      <c r="AH9" s="60">
        <f t="shared" si="0"/>
        <v>35000</v>
      </c>
      <c r="AI9" s="60">
        <f t="shared" ref="AI9:AI72" si="14">AG9-AH9</f>
        <v>9639.7894236945722</v>
      </c>
      <c r="AJ9" s="62">
        <f t="shared" si="1"/>
        <v>1308052.2706701744</v>
      </c>
    </row>
    <row r="10" spans="1:36" x14ac:dyDescent="0.25">
      <c r="A10" s="2">
        <v>3</v>
      </c>
      <c r="B10" s="36">
        <f t="shared" si="2"/>
        <v>1</v>
      </c>
      <c r="C10" s="11">
        <f>C9*(1+VLOOKUP(C$6,Data!$A$3:$G$8,6,0))^(1/12)</f>
        <v>4559.8017573096467</v>
      </c>
      <c r="D10" s="59">
        <f>C10*VLOOKUP(C$6,Data!$A$4:$G$8,3,FALSE)</f>
        <v>2279.9008786548234</v>
      </c>
      <c r="E10" s="37">
        <f>VLOOKUP(C$6,Data!$A$3:$G$8,5,FALSE)</f>
        <v>7.0000000000000007E-2</v>
      </c>
      <c r="F10" s="58">
        <f t="shared" si="3"/>
        <v>319.18612301167531</v>
      </c>
      <c r="G10" s="75">
        <f>F10*VLOOKUP(C$6,Data!$A$4:$G$8,2,FALSE)</f>
        <v>1595.9306150583766</v>
      </c>
      <c r="H10" s="75">
        <f t="shared" si="4"/>
        <v>683.97026359644678</v>
      </c>
      <c r="I10" s="11">
        <f>I9*(1+VLOOKUP(I$6,Data!$A$3:$G$8,6,0))^(1/12)</f>
        <v>9059.9004418690092</v>
      </c>
      <c r="J10" s="59">
        <f>I10*VLOOKUP(I$6,Data!$A$4:$G$8,3,FALSE)</f>
        <v>2717.9701325607025</v>
      </c>
      <c r="K10" s="37">
        <f>VLOOKUP(I$6,Data!$A$3:$G$8,5,FALSE)</f>
        <v>0.06</v>
      </c>
      <c r="L10" s="58">
        <f t="shared" si="5"/>
        <v>543.59402651214054</v>
      </c>
      <c r="M10" s="75">
        <f>L10*VLOOKUP(I$6,Data!$A$4:$G$8,2,FALSE)</f>
        <v>3261.5641590728433</v>
      </c>
      <c r="N10" s="75">
        <f t="shared" si="6"/>
        <v>-543.59402651214077</v>
      </c>
      <c r="O10" s="11">
        <f>O9*(1+VLOOKUP(O$6,Data!$A$3:$G$8,6,0))^(1/12)</f>
        <v>7747.9616560988025</v>
      </c>
      <c r="P10" s="59">
        <f>O10*VLOOKUP(O$6,Data!$A$4:$G$8,3,FALSE)</f>
        <v>7747.9616560988025</v>
      </c>
      <c r="Q10" s="37">
        <f>VLOOKUP(O$6,Data!$A$3:$G$8,5,FALSE)</f>
        <v>0.05</v>
      </c>
      <c r="R10" s="58">
        <f t="shared" si="7"/>
        <v>387.39808280494015</v>
      </c>
      <c r="S10" s="75">
        <f>R10*VLOOKUP(O$6,Data!$A$4:$G$8,2,FALSE)</f>
        <v>2905.4856210370513</v>
      </c>
      <c r="T10" s="75">
        <f t="shared" si="8"/>
        <v>4842.4760350617507</v>
      </c>
      <c r="U10" s="11">
        <f>U9*(1+VLOOKUP(U$6,Data!$A$3:$G$8,6,0))^(1/12)</f>
        <v>10639.537433722509</v>
      </c>
      <c r="V10" s="59">
        <f>U10*VLOOKUP(U$6,Data!$A$4:$G$8,3,FALSE)</f>
        <v>26598.843584306273</v>
      </c>
      <c r="W10" s="37">
        <f>VLOOKUP(U$6,Data!$A$3:$G$8,5,FALSE)</f>
        <v>7.0000000000000007E-2</v>
      </c>
      <c r="X10" s="58">
        <f t="shared" si="9"/>
        <v>744.76762036057573</v>
      </c>
      <c r="Y10" s="75">
        <f>X10*VLOOKUP(U$6,Data!$A$4:$G$8,2,FALSE)</f>
        <v>6330.5247730648935</v>
      </c>
      <c r="Z10" s="82">
        <f t="shared" si="10"/>
        <v>20268.318811241377</v>
      </c>
      <c r="AA10" s="11">
        <f>AA9*(1+VLOOKUP(AA$6,Data!$A$3:$G$8,6,0))^(1/12)</f>
        <v>9995.0328424764593</v>
      </c>
      <c r="AB10" s="59">
        <f>AA10*VLOOKUP(AA$6,Data!$A$4:$G$8,3,FALSE)</f>
        <v>27486.340316810263</v>
      </c>
      <c r="AC10" s="37">
        <f>VLOOKUP(AA$6,Data!$A$3:$G$8,5,FALSE)</f>
        <v>0.08</v>
      </c>
      <c r="AD10" s="58">
        <f t="shared" si="11"/>
        <v>799.60262739811674</v>
      </c>
      <c r="AE10" s="75">
        <f>AD10*VLOOKUP(AA$6,Data!$A$4:$G$8,2,FALSE)</f>
        <v>7996.0262739811678</v>
      </c>
      <c r="AF10" s="82">
        <f t="shared" si="12"/>
        <v>19490.314042829094</v>
      </c>
      <c r="AG10" s="61">
        <f t="shared" si="13"/>
        <v>44741.485126216532</v>
      </c>
      <c r="AH10" s="60">
        <f t="shared" si="0"/>
        <v>35000</v>
      </c>
      <c r="AI10" s="60">
        <f t="shared" si="14"/>
        <v>9741.4851262165321</v>
      </c>
      <c r="AJ10" s="62">
        <f t="shared" si="1"/>
        <v>1306319.5513022218</v>
      </c>
    </row>
    <row r="11" spans="1:36" x14ac:dyDescent="0.25">
      <c r="A11" s="2">
        <v>4</v>
      </c>
      <c r="B11" s="36">
        <f t="shared" si="2"/>
        <v>1</v>
      </c>
      <c r="C11" s="11">
        <f>C10*(1+VLOOKUP(C$6,Data!$A$3:$G$8,6,0))^(1/12)</f>
        <v>4567.3326406324823</v>
      </c>
      <c r="D11" s="59">
        <f>C11*VLOOKUP(C$6,Data!$A$4:$G$8,3,FALSE)</f>
        <v>2283.6663203162411</v>
      </c>
      <c r="E11" s="37">
        <f>VLOOKUP(C$6,Data!$A$3:$G$8,5,FALSE)</f>
        <v>7.0000000000000007E-2</v>
      </c>
      <c r="F11" s="58">
        <f t="shared" si="3"/>
        <v>319.7132848442738</v>
      </c>
      <c r="G11" s="75">
        <f>F11*VLOOKUP(C$6,Data!$A$4:$G$8,2,FALSE)</f>
        <v>1598.5664242213691</v>
      </c>
      <c r="H11" s="75">
        <f t="shared" si="4"/>
        <v>685.09989609487207</v>
      </c>
      <c r="I11" s="11">
        <f>I10*(1+VLOOKUP(I$6,Data!$A$3:$G$8,6,0))^(1/12)</f>
        <v>9067.4159745977213</v>
      </c>
      <c r="J11" s="59">
        <f>I11*VLOOKUP(I$6,Data!$A$4:$G$8,3,FALSE)</f>
        <v>2720.2247923793161</v>
      </c>
      <c r="K11" s="37">
        <f>VLOOKUP(I$6,Data!$A$3:$G$8,5,FALSE)</f>
        <v>0.06</v>
      </c>
      <c r="L11" s="58">
        <f t="shared" si="5"/>
        <v>544.04495847586327</v>
      </c>
      <c r="M11" s="75">
        <f>L11*VLOOKUP(I$6,Data!$A$4:$G$8,2,FALSE)</f>
        <v>3264.2697508551796</v>
      </c>
      <c r="N11" s="75">
        <f t="shared" si="6"/>
        <v>-544.0449584758635</v>
      </c>
      <c r="O11" s="11">
        <f>O10*(1+VLOOKUP(O$6,Data!$A$3:$G$8,6,0))^(1/12)</f>
        <v>7779.5278109567098</v>
      </c>
      <c r="P11" s="59">
        <f>O11*VLOOKUP(O$6,Data!$A$4:$G$8,3,FALSE)</f>
        <v>7779.5278109567098</v>
      </c>
      <c r="Q11" s="37">
        <f>VLOOKUP(O$6,Data!$A$3:$G$8,5,FALSE)</f>
        <v>0.05</v>
      </c>
      <c r="R11" s="58">
        <f t="shared" si="7"/>
        <v>388.97639054783554</v>
      </c>
      <c r="S11" s="75">
        <f>R11*VLOOKUP(O$6,Data!$A$4:$G$8,2,FALSE)</f>
        <v>2917.3229291087664</v>
      </c>
      <c r="T11" s="75">
        <f t="shared" si="8"/>
        <v>4862.2048818479434</v>
      </c>
      <c r="U11" s="11">
        <f>U10*(1+VLOOKUP(U$6,Data!$A$3:$G$8,6,0))^(1/12)</f>
        <v>10657.109494809125</v>
      </c>
      <c r="V11" s="59">
        <f>U11*VLOOKUP(U$6,Data!$A$4:$G$8,3,FALSE)</f>
        <v>26642.773737022813</v>
      </c>
      <c r="W11" s="37">
        <f>VLOOKUP(U$6,Data!$A$3:$G$8,5,FALSE)</f>
        <v>7.0000000000000007E-2</v>
      </c>
      <c r="X11" s="58">
        <f t="shared" si="9"/>
        <v>745.99766463663877</v>
      </c>
      <c r="Y11" s="75">
        <f>X11*VLOOKUP(U$6,Data!$A$4:$G$8,2,FALSE)</f>
        <v>6340.9801494114299</v>
      </c>
      <c r="Z11" s="82">
        <f t="shared" si="10"/>
        <v>20301.793587611384</v>
      </c>
      <c r="AA11" s="11">
        <f>AA10*(1+VLOOKUP(AA$6,Data!$A$3:$G$8,6,0))^(1/12)</f>
        <v>10019.683289849041</v>
      </c>
      <c r="AB11" s="59">
        <f>AA11*VLOOKUP(AA$6,Data!$A$4:$G$8,3,FALSE)</f>
        <v>27554.129047084862</v>
      </c>
      <c r="AC11" s="37">
        <f>VLOOKUP(AA$6,Data!$A$3:$G$8,5,FALSE)</f>
        <v>0.08</v>
      </c>
      <c r="AD11" s="58">
        <f t="shared" si="11"/>
        <v>801.57466318792331</v>
      </c>
      <c r="AE11" s="75">
        <f>AD11*VLOOKUP(AA$6,Data!$A$4:$G$8,2,FALSE)</f>
        <v>8015.7466318792331</v>
      </c>
      <c r="AF11" s="82">
        <f t="shared" si="12"/>
        <v>19538.38241520563</v>
      </c>
      <c r="AG11" s="61">
        <f t="shared" si="13"/>
        <v>44843.435822283966</v>
      </c>
      <c r="AH11" s="60">
        <f t="shared" si="0"/>
        <v>35000</v>
      </c>
      <c r="AI11" s="60">
        <f t="shared" si="14"/>
        <v>9843.4358222839655</v>
      </c>
      <c r="AJ11" s="62">
        <f t="shared" si="1"/>
        <v>1304474.6620834763</v>
      </c>
    </row>
    <row r="12" spans="1:36" x14ac:dyDescent="0.25">
      <c r="A12" s="2">
        <v>5</v>
      </c>
      <c r="B12" s="36">
        <f t="shared" si="2"/>
        <v>1</v>
      </c>
      <c r="C12" s="11">
        <f>C11*(1+VLOOKUP(C$6,Data!$A$3:$G$8,6,0))^(1/12)</f>
        <v>4574.8759618214008</v>
      </c>
      <c r="D12" s="59">
        <f>C12*VLOOKUP(C$6,Data!$A$4:$G$8,3,FALSE)</f>
        <v>2287.4379809107004</v>
      </c>
      <c r="E12" s="37">
        <f>VLOOKUP(C$6,Data!$A$3:$G$8,5,FALSE)</f>
        <v>7.0000000000000007E-2</v>
      </c>
      <c r="F12" s="58">
        <f t="shared" si="3"/>
        <v>320.24131732749811</v>
      </c>
      <c r="G12" s="75">
        <f>F12*VLOOKUP(C$6,Data!$A$4:$G$8,2,FALSE)</f>
        <v>1601.2065866374905</v>
      </c>
      <c r="H12" s="75">
        <f t="shared" si="4"/>
        <v>686.23139427320984</v>
      </c>
      <c r="I12" s="11">
        <f>I11*(1+VLOOKUP(I$6,Data!$A$3:$G$8,6,0))^(1/12)</f>
        <v>9074.9377417472806</v>
      </c>
      <c r="J12" s="59">
        <f>I12*VLOOKUP(I$6,Data!$A$4:$G$8,3,FALSE)</f>
        <v>2722.4813225241842</v>
      </c>
      <c r="K12" s="37">
        <f>VLOOKUP(I$6,Data!$A$3:$G$8,5,FALSE)</f>
        <v>0.06</v>
      </c>
      <c r="L12" s="58">
        <f t="shared" si="5"/>
        <v>544.49626450483686</v>
      </c>
      <c r="M12" s="75">
        <f>L12*VLOOKUP(I$6,Data!$A$4:$G$8,2,FALSE)</f>
        <v>3266.9775870290214</v>
      </c>
      <c r="N12" s="75">
        <f t="shared" si="6"/>
        <v>-544.4962645048372</v>
      </c>
      <c r="O12" s="11">
        <f>O11*(1+VLOOKUP(O$6,Data!$A$3:$G$8,6,0))^(1/12)</f>
        <v>7811.2225702368823</v>
      </c>
      <c r="P12" s="59">
        <f>O12*VLOOKUP(O$6,Data!$A$4:$G$8,3,FALSE)</f>
        <v>7811.2225702368823</v>
      </c>
      <c r="Q12" s="37">
        <f>VLOOKUP(O$6,Data!$A$3:$G$8,5,FALSE)</f>
        <v>0.05</v>
      </c>
      <c r="R12" s="58">
        <f t="shared" si="7"/>
        <v>390.56112851184412</v>
      </c>
      <c r="S12" s="75">
        <f>R12*VLOOKUP(O$6,Data!$A$4:$G$8,2,FALSE)</f>
        <v>2929.208463838831</v>
      </c>
      <c r="T12" s="75">
        <f t="shared" si="8"/>
        <v>4882.0141063980518</v>
      </c>
      <c r="U12" s="11">
        <f>U11*(1+VLOOKUP(U$6,Data!$A$3:$G$8,6,0))^(1/12)</f>
        <v>10674.710577583268</v>
      </c>
      <c r="V12" s="59">
        <f>U12*VLOOKUP(U$6,Data!$A$4:$G$8,3,FALSE)</f>
        <v>26686.77644395817</v>
      </c>
      <c r="W12" s="37">
        <f>VLOOKUP(U$6,Data!$A$3:$G$8,5,FALSE)</f>
        <v>7.0000000000000007E-2</v>
      </c>
      <c r="X12" s="58">
        <f t="shared" si="9"/>
        <v>747.22974043082877</v>
      </c>
      <c r="Y12" s="75">
        <f>X12*VLOOKUP(U$6,Data!$A$4:$G$8,2,FALSE)</f>
        <v>6351.4527936620443</v>
      </c>
      <c r="Z12" s="82">
        <f t="shared" si="10"/>
        <v>20335.323650296126</v>
      </c>
      <c r="AA12" s="11">
        <f>AA11*(1+VLOOKUP(AA$6,Data!$A$3:$G$8,6,0))^(1/12)</f>
        <v>10044.394531874852</v>
      </c>
      <c r="AB12" s="59">
        <f>AA12*VLOOKUP(AA$6,Data!$A$4:$G$8,3,FALSE)</f>
        <v>27622.084962655841</v>
      </c>
      <c r="AC12" s="37">
        <f>VLOOKUP(AA$6,Data!$A$3:$G$8,5,FALSE)</f>
        <v>0.08</v>
      </c>
      <c r="AD12" s="58">
        <f t="shared" si="11"/>
        <v>803.55156254998815</v>
      </c>
      <c r="AE12" s="75">
        <f>AD12*VLOOKUP(AA$6,Data!$A$4:$G$8,2,FALSE)</f>
        <v>8035.5156254998819</v>
      </c>
      <c r="AF12" s="82">
        <f t="shared" si="12"/>
        <v>19586.569337155961</v>
      </c>
      <c r="AG12" s="61">
        <f t="shared" si="13"/>
        <v>44945.64222361851</v>
      </c>
      <c r="AH12" s="60">
        <f t="shared" si="0"/>
        <v>35000</v>
      </c>
      <c r="AI12" s="60">
        <f t="shared" si="14"/>
        <v>9945.6422236185099</v>
      </c>
      <c r="AJ12" s="62">
        <f t="shared" si="1"/>
        <v>1302516.6699627272</v>
      </c>
    </row>
    <row r="13" spans="1:36" x14ac:dyDescent="0.25">
      <c r="A13" s="2">
        <v>6</v>
      </c>
      <c r="B13" s="36">
        <f t="shared" si="2"/>
        <v>1</v>
      </c>
      <c r="C13" s="11">
        <f>C12*(1+VLOOKUP(C$6,Data!$A$3:$G$8,6,0))^(1/12)</f>
        <v>4582.4317414185489</v>
      </c>
      <c r="D13" s="59">
        <f>C13*VLOOKUP(C$6,Data!$A$4:$G$8,3,FALSE)</f>
        <v>2291.2158707092744</v>
      </c>
      <c r="E13" s="37">
        <f>VLOOKUP(C$6,Data!$A$3:$G$8,5,FALSE)</f>
        <v>7.0000000000000007E-2</v>
      </c>
      <c r="F13" s="58">
        <f t="shared" si="3"/>
        <v>320.77022189929846</v>
      </c>
      <c r="G13" s="75">
        <f>F13*VLOOKUP(C$6,Data!$A$4:$G$8,2,FALSE)</f>
        <v>1603.8511094964924</v>
      </c>
      <c r="H13" s="75">
        <f t="shared" si="4"/>
        <v>687.36476121278201</v>
      </c>
      <c r="I13" s="11">
        <f>I12*(1+VLOOKUP(I$6,Data!$A$3:$G$8,6,0))^(1/12)</f>
        <v>9082.4657484893778</v>
      </c>
      <c r="J13" s="59">
        <f>I13*VLOOKUP(I$6,Data!$A$4:$G$8,3,FALSE)</f>
        <v>2724.7397245468132</v>
      </c>
      <c r="K13" s="37">
        <f>VLOOKUP(I$6,Data!$A$3:$G$8,5,FALSE)</f>
        <v>0.06</v>
      </c>
      <c r="L13" s="58">
        <f t="shared" si="5"/>
        <v>544.9479449093626</v>
      </c>
      <c r="M13" s="75">
        <f>L13*VLOOKUP(I$6,Data!$A$4:$G$8,2,FALSE)</f>
        <v>3269.6876694561756</v>
      </c>
      <c r="N13" s="75">
        <f t="shared" si="6"/>
        <v>-544.94794490936238</v>
      </c>
      <c r="O13" s="11">
        <f>O12*(1+VLOOKUP(O$6,Data!$A$3:$G$8,6,0))^(1/12)</f>
        <v>7843.0464578896554</v>
      </c>
      <c r="P13" s="59">
        <f>O13*VLOOKUP(O$6,Data!$A$4:$G$8,3,FALSE)</f>
        <v>7843.0464578896554</v>
      </c>
      <c r="Q13" s="37">
        <f>VLOOKUP(O$6,Data!$A$3:$G$8,5,FALSE)</f>
        <v>0.05</v>
      </c>
      <c r="R13" s="58">
        <f t="shared" si="7"/>
        <v>392.15232289448278</v>
      </c>
      <c r="S13" s="75">
        <f>R13*VLOOKUP(O$6,Data!$A$4:$G$8,2,FALSE)</f>
        <v>2941.142421708621</v>
      </c>
      <c r="T13" s="75">
        <f t="shared" si="8"/>
        <v>4901.9040361810348</v>
      </c>
      <c r="U13" s="11">
        <f>U12*(1+VLOOKUP(U$6,Data!$A$3:$G$8,6,0))^(1/12)</f>
        <v>10692.340729976615</v>
      </c>
      <c r="V13" s="59">
        <f>U13*VLOOKUP(U$6,Data!$A$4:$G$8,3,FALSE)</f>
        <v>26730.851824941536</v>
      </c>
      <c r="W13" s="37">
        <f>VLOOKUP(U$6,Data!$A$3:$G$8,5,FALSE)</f>
        <v>7.0000000000000007E-2</v>
      </c>
      <c r="X13" s="58">
        <f t="shared" si="9"/>
        <v>748.46385109836308</v>
      </c>
      <c r="Y13" s="75">
        <f>X13*VLOOKUP(U$6,Data!$A$4:$G$8,2,FALSE)</f>
        <v>6361.9427343360858</v>
      </c>
      <c r="Z13" s="82">
        <f t="shared" si="10"/>
        <v>20368.909090605448</v>
      </c>
      <c r="AA13" s="11">
        <f>AA12*(1+VLOOKUP(AA$6,Data!$A$3:$G$8,6,0))^(1/12)</f>
        <v>10069.166718489907</v>
      </c>
      <c r="AB13" s="59">
        <f>AA13*VLOOKUP(AA$6,Data!$A$4:$G$8,3,FALSE)</f>
        <v>27690.208475847245</v>
      </c>
      <c r="AC13" s="37">
        <f>VLOOKUP(AA$6,Data!$A$3:$G$8,5,FALSE)</f>
        <v>0.08</v>
      </c>
      <c r="AD13" s="58">
        <f t="shared" si="11"/>
        <v>805.5333374791926</v>
      </c>
      <c r="AE13" s="75">
        <f>AD13*VLOOKUP(AA$6,Data!$A$4:$G$8,2,FALSE)</f>
        <v>8055.333374791926</v>
      </c>
      <c r="AF13" s="82">
        <f t="shared" si="12"/>
        <v>19634.875101055317</v>
      </c>
      <c r="AG13" s="61">
        <f t="shared" si="13"/>
        <v>45048.105044145217</v>
      </c>
      <c r="AH13" s="60">
        <f t="shared" si="0"/>
        <v>35000</v>
      </c>
      <c r="AI13" s="60">
        <f t="shared" si="14"/>
        <v>10048.105044145217</v>
      </c>
      <c r="AJ13" s="62">
        <f t="shared" si="1"/>
        <v>1300444.6355368237</v>
      </c>
    </row>
    <row r="14" spans="1:36" x14ac:dyDescent="0.25">
      <c r="A14" s="2">
        <v>7</v>
      </c>
      <c r="B14" s="36">
        <f t="shared" si="2"/>
        <v>1</v>
      </c>
      <c r="C14" s="11">
        <f>C13*(1+VLOOKUP(C$6,Data!$A$3:$G$8,6,0))^(1/12)</f>
        <v>4590.0000000000018</v>
      </c>
      <c r="D14" s="59">
        <f>C14*VLOOKUP(C$6,Data!$A$4:$G$8,3,FALSE)</f>
        <v>2295.0000000000009</v>
      </c>
      <c r="E14" s="37">
        <f>VLOOKUP(C$6,Data!$A$3:$G$8,5,FALSE)</f>
        <v>7.0000000000000007E-2</v>
      </c>
      <c r="F14" s="58">
        <f t="shared" si="3"/>
        <v>321.30000000000018</v>
      </c>
      <c r="G14" s="75">
        <f>F14*VLOOKUP(C$6,Data!$A$4:$G$8,2,FALSE)</f>
        <v>1606.5000000000009</v>
      </c>
      <c r="H14" s="75">
        <f t="shared" si="4"/>
        <v>688.5</v>
      </c>
      <c r="I14" s="11">
        <f>I13*(1+VLOOKUP(I$6,Data!$A$3:$G$8,6,0))^(1/12)</f>
        <v>9089.9999999999927</v>
      </c>
      <c r="J14" s="59">
        <f>I14*VLOOKUP(I$6,Data!$A$4:$G$8,3,FALSE)</f>
        <v>2726.9999999999977</v>
      </c>
      <c r="K14" s="37">
        <f>VLOOKUP(I$6,Data!$A$3:$G$8,5,FALSE)</f>
        <v>0.06</v>
      </c>
      <c r="L14" s="58">
        <f t="shared" si="5"/>
        <v>545.39999999999952</v>
      </c>
      <c r="M14" s="75">
        <f>L14*VLOOKUP(I$6,Data!$A$4:$G$8,2,FALSE)</f>
        <v>3272.3999999999969</v>
      </c>
      <c r="N14" s="75">
        <f t="shared" si="6"/>
        <v>-545.39999999999918</v>
      </c>
      <c r="O14" s="11">
        <f>O13*(1+VLOOKUP(O$6,Data!$A$3:$G$8,6,0))^(1/12)</f>
        <v>7875.0000000000027</v>
      </c>
      <c r="P14" s="59">
        <f>O14*VLOOKUP(O$6,Data!$A$4:$G$8,3,FALSE)</f>
        <v>7875.0000000000027</v>
      </c>
      <c r="Q14" s="37">
        <f>VLOOKUP(O$6,Data!$A$3:$G$8,5,FALSE)</f>
        <v>0.05</v>
      </c>
      <c r="R14" s="58">
        <f t="shared" si="7"/>
        <v>393.75000000000017</v>
      </c>
      <c r="S14" s="75">
        <f>R14*VLOOKUP(O$6,Data!$A$4:$G$8,2,FALSE)</f>
        <v>2953.1250000000014</v>
      </c>
      <c r="T14" s="75">
        <f t="shared" si="8"/>
        <v>4921.8750000000018</v>
      </c>
      <c r="U14" s="11">
        <f>U13*(1+VLOOKUP(U$6,Data!$A$3:$G$8,6,0))^(1/12)</f>
        <v>10710.000000000004</v>
      </c>
      <c r="V14" s="59">
        <f>U14*VLOOKUP(U$6,Data!$A$4:$G$8,3,FALSE)</f>
        <v>26775.000000000007</v>
      </c>
      <c r="W14" s="37">
        <f>VLOOKUP(U$6,Data!$A$3:$G$8,5,FALSE)</f>
        <v>7.0000000000000007E-2</v>
      </c>
      <c r="X14" s="58">
        <f t="shared" si="9"/>
        <v>749.70000000000027</v>
      </c>
      <c r="Y14" s="75">
        <f>X14*VLOOKUP(U$6,Data!$A$4:$G$8,2,FALSE)</f>
        <v>6372.4500000000025</v>
      </c>
      <c r="Z14" s="82">
        <f t="shared" si="10"/>
        <v>20402.550000000003</v>
      </c>
      <c r="AA14" s="11">
        <f>AA13*(1+VLOOKUP(AA$6,Data!$A$3:$G$8,6,0))^(1/12)</f>
        <v>10094.000000000005</v>
      </c>
      <c r="AB14" s="59">
        <f>AA14*VLOOKUP(AA$6,Data!$A$4:$G$8,3,FALSE)</f>
        <v>27758.500000000015</v>
      </c>
      <c r="AC14" s="37">
        <f>VLOOKUP(AA$6,Data!$A$3:$G$8,5,FALSE)</f>
        <v>0.08</v>
      </c>
      <c r="AD14" s="58">
        <f t="shared" si="11"/>
        <v>807.52000000000044</v>
      </c>
      <c r="AE14" s="75">
        <f>AD14*VLOOKUP(AA$6,Data!$A$4:$G$8,2,FALSE)</f>
        <v>8075.2000000000044</v>
      </c>
      <c r="AF14" s="82">
        <f t="shared" si="12"/>
        <v>19683.30000000001</v>
      </c>
      <c r="AG14" s="61">
        <f t="shared" si="13"/>
        <v>45150.825000000012</v>
      </c>
      <c r="AH14" s="60">
        <f t="shared" si="0"/>
        <v>35000</v>
      </c>
      <c r="AI14" s="60">
        <f t="shared" si="14"/>
        <v>10150.825000000012</v>
      </c>
      <c r="AJ14" s="62">
        <f t="shared" si="1"/>
        <v>1298257.6130100731</v>
      </c>
    </row>
    <row r="15" spans="1:36" x14ac:dyDescent="0.25">
      <c r="A15" s="2">
        <v>8</v>
      </c>
      <c r="B15" s="36">
        <f t="shared" si="2"/>
        <v>1</v>
      </c>
      <c r="C15" s="11">
        <f>C14*(1+VLOOKUP(C$6,Data!$A$3:$G$8,6,0))^(1/12)</f>
        <v>4597.5807581758154</v>
      </c>
      <c r="D15" s="59">
        <f>C15*VLOOKUP(C$6,Data!$A$4:$G$8,3,FALSE)</f>
        <v>2298.7903790879077</v>
      </c>
      <c r="E15" s="37">
        <f>VLOOKUP(C$6,Data!$A$3:$G$8,5,FALSE)</f>
        <v>7.0000000000000007E-2</v>
      </c>
      <c r="F15" s="58">
        <f t="shared" si="3"/>
        <v>321.83065307230709</v>
      </c>
      <c r="G15" s="75">
        <f>F15*VLOOKUP(C$6,Data!$A$4:$G$8,2,FALSE)</f>
        <v>1609.1532653615354</v>
      </c>
      <c r="H15" s="75">
        <f t="shared" si="4"/>
        <v>689.63711372637226</v>
      </c>
      <c r="I15" s="11">
        <f>I14*(1+VLOOKUP(I$6,Data!$A$3:$G$8,6,0))^(1/12)</f>
        <v>9097.5405014593998</v>
      </c>
      <c r="J15" s="59">
        <f>I15*VLOOKUP(I$6,Data!$A$4:$G$8,3,FALSE)</f>
        <v>2729.2621504378199</v>
      </c>
      <c r="K15" s="37">
        <f>VLOOKUP(I$6,Data!$A$3:$G$8,5,FALSE)</f>
        <v>0.06</v>
      </c>
      <c r="L15" s="58">
        <f t="shared" si="5"/>
        <v>545.85243008756402</v>
      </c>
      <c r="M15" s="75">
        <f>L15*VLOOKUP(I$6,Data!$A$4:$G$8,2,FALSE)</f>
        <v>3275.1145805253841</v>
      </c>
      <c r="N15" s="75">
        <f t="shared" si="6"/>
        <v>-545.85243008756424</v>
      </c>
      <c r="O15" s="11">
        <f>O14*(1+VLOOKUP(O$6,Data!$A$3:$G$8,6,0))^(1/12)</f>
        <v>7907.0837247962336</v>
      </c>
      <c r="P15" s="59">
        <f>O15*VLOOKUP(O$6,Data!$A$4:$G$8,3,FALSE)</f>
        <v>7907.0837247962336</v>
      </c>
      <c r="Q15" s="37">
        <f>VLOOKUP(O$6,Data!$A$3:$G$8,5,FALSE)</f>
        <v>0.05</v>
      </c>
      <c r="R15" s="58">
        <f t="shared" si="7"/>
        <v>395.35418623981172</v>
      </c>
      <c r="S15" s="75">
        <f>R15*VLOOKUP(O$6,Data!$A$4:$G$8,2,FALSE)</f>
        <v>2965.156396798588</v>
      </c>
      <c r="T15" s="75">
        <f t="shared" si="8"/>
        <v>4941.927327997646</v>
      </c>
      <c r="U15" s="11">
        <f>U14*(1+VLOOKUP(U$6,Data!$A$3:$G$8,6,0))^(1/12)</f>
        <v>10727.68843574357</v>
      </c>
      <c r="V15" s="59">
        <f>U15*VLOOKUP(U$6,Data!$A$4:$G$8,3,FALSE)</f>
        <v>26819.221089358925</v>
      </c>
      <c r="W15" s="37">
        <f>VLOOKUP(U$6,Data!$A$3:$G$8,5,FALSE)</f>
        <v>7.0000000000000007E-2</v>
      </c>
      <c r="X15" s="58">
        <f t="shared" si="9"/>
        <v>750.93819050205002</v>
      </c>
      <c r="Y15" s="75">
        <f>X15*VLOOKUP(U$6,Data!$A$4:$G$8,2,FALSE)</f>
        <v>6382.9746192674247</v>
      </c>
      <c r="Z15" s="82">
        <f t="shared" si="10"/>
        <v>20436.246470091501</v>
      </c>
      <c r="AA15" s="11">
        <f>AA14*(1+VLOOKUP(AA$6,Data!$A$3:$G$8,6,0))^(1/12)</f>
        <v>10118.894527081638</v>
      </c>
      <c r="AB15" s="59">
        <f>AA15*VLOOKUP(AA$6,Data!$A$4:$G$8,3,FALSE)</f>
        <v>27826.959949474505</v>
      </c>
      <c r="AC15" s="37">
        <f>VLOOKUP(AA$6,Data!$A$3:$G$8,5,FALSE)</f>
        <v>0.08</v>
      </c>
      <c r="AD15" s="58">
        <f t="shared" si="11"/>
        <v>809.51156216653112</v>
      </c>
      <c r="AE15" s="75">
        <f>AD15*VLOOKUP(AA$6,Data!$A$4:$G$8,2,FALSE)</f>
        <v>8095.1156216653108</v>
      </c>
      <c r="AF15" s="82">
        <f t="shared" si="12"/>
        <v>19731.844327809195</v>
      </c>
      <c r="AG15" s="61">
        <f t="shared" si="13"/>
        <v>45253.802809537148</v>
      </c>
      <c r="AH15" s="60">
        <f t="shared" si="0"/>
        <v>35000</v>
      </c>
      <c r="AI15" s="60">
        <f t="shared" si="14"/>
        <v>10253.802809537148</v>
      </c>
      <c r="AJ15" s="62">
        <f t="shared" si="1"/>
        <v>1295954.6501533892</v>
      </c>
    </row>
    <row r="16" spans="1:36" x14ac:dyDescent="0.25">
      <c r="A16" s="2">
        <v>9</v>
      </c>
      <c r="B16" s="36">
        <f t="shared" si="2"/>
        <v>1</v>
      </c>
      <c r="C16" s="11">
        <f>C15*(1+VLOOKUP(C$6,Data!$A$3:$G$8,6,0))^(1/12)</f>
        <v>4605.1740365900869</v>
      </c>
      <c r="D16" s="59">
        <f>C16*VLOOKUP(C$6,Data!$A$4:$G$8,3,FALSE)</f>
        <v>2302.5870182950434</v>
      </c>
      <c r="E16" s="37">
        <f>VLOOKUP(C$6,Data!$A$3:$G$8,5,FALSE)</f>
        <v>7.0000000000000007E-2</v>
      </c>
      <c r="F16" s="58">
        <f t="shared" si="3"/>
        <v>322.3621825613061</v>
      </c>
      <c r="G16" s="75">
        <f>F16*VLOOKUP(C$6,Data!$A$4:$G$8,2,FALSE)</f>
        <v>1611.8109128065305</v>
      </c>
      <c r="H16" s="75">
        <f t="shared" si="4"/>
        <v>690.77610548851294</v>
      </c>
      <c r="I16" s="11">
        <f>I15*(1+VLOOKUP(I$6,Data!$A$3:$G$8,6,0))^(1/12)</f>
        <v>9105.0872580521682</v>
      </c>
      <c r="J16" s="59">
        <f>I16*VLOOKUP(I$6,Data!$A$4:$G$8,3,FALSE)</f>
        <v>2731.5261774156502</v>
      </c>
      <c r="K16" s="37">
        <f>VLOOKUP(I$6,Data!$A$3:$G$8,5,FALSE)</f>
        <v>0.06</v>
      </c>
      <c r="L16" s="58">
        <f t="shared" si="5"/>
        <v>546.3052354831301</v>
      </c>
      <c r="M16" s="75">
        <f>L16*VLOOKUP(I$6,Data!$A$4:$G$8,2,FALSE)</f>
        <v>3277.8314128987804</v>
      </c>
      <c r="N16" s="75">
        <f t="shared" si="6"/>
        <v>-546.30523548313022</v>
      </c>
      <c r="O16" s="11">
        <f>O15*(1+VLOOKUP(O$6,Data!$A$3:$G$8,6,0))^(1/12)</f>
        <v>7939.2981626587243</v>
      </c>
      <c r="P16" s="59">
        <f>O16*VLOOKUP(O$6,Data!$A$4:$G$8,3,FALSE)</f>
        <v>7939.2981626587243</v>
      </c>
      <c r="Q16" s="37">
        <f>VLOOKUP(O$6,Data!$A$3:$G$8,5,FALSE)</f>
        <v>0.05</v>
      </c>
      <c r="R16" s="58">
        <f t="shared" si="7"/>
        <v>396.96490813293622</v>
      </c>
      <c r="S16" s="75">
        <f>R16*VLOOKUP(O$6,Data!$A$4:$G$8,2,FALSE)</f>
        <v>2977.2368109970216</v>
      </c>
      <c r="T16" s="75">
        <f t="shared" si="8"/>
        <v>4962.0613516617032</v>
      </c>
      <c r="U16" s="11">
        <f>U15*(1+VLOOKUP(U$6,Data!$A$3:$G$8,6,0))^(1/12)</f>
        <v>10745.40608537687</v>
      </c>
      <c r="V16" s="59">
        <f>U16*VLOOKUP(U$6,Data!$A$4:$G$8,3,FALSE)</f>
        <v>26863.515213442173</v>
      </c>
      <c r="W16" s="37">
        <f>VLOOKUP(U$6,Data!$A$3:$G$8,5,FALSE)</f>
        <v>7.0000000000000007E-2</v>
      </c>
      <c r="X16" s="58">
        <f t="shared" si="9"/>
        <v>752.17842597638094</v>
      </c>
      <c r="Y16" s="75">
        <f>X16*VLOOKUP(U$6,Data!$A$4:$G$8,2,FALSE)</f>
        <v>6393.5166207992379</v>
      </c>
      <c r="Z16" s="82">
        <f t="shared" si="10"/>
        <v>20469.998592642936</v>
      </c>
      <c r="AA16" s="11">
        <f>AA15*(1+VLOOKUP(AA$6,Data!$A$3:$G$8,6,0))^(1/12)</f>
        <v>10143.850450782909</v>
      </c>
      <c r="AB16" s="59">
        <f>AA16*VLOOKUP(AA$6,Data!$A$4:$G$8,3,FALSE)</f>
        <v>27895.588739653002</v>
      </c>
      <c r="AC16" s="37">
        <f>VLOOKUP(AA$6,Data!$A$3:$G$8,5,FALSE)</f>
        <v>0.08</v>
      </c>
      <c r="AD16" s="58">
        <f t="shared" si="11"/>
        <v>811.50803606263275</v>
      </c>
      <c r="AE16" s="75">
        <f>AD16*VLOOKUP(AA$6,Data!$A$4:$G$8,2,FALSE)</f>
        <v>8115.0803606263271</v>
      </c>
      <c r="AF16" s="82">
        <f t="shared" si="12"/>
        <v>19780.508379026673</v>
      </c>
      <c r="AG16" s="61">
        <f t="shared" si="13"/>
        <v>45357.039193336692</v>
      </c>
      <c r="AH16" s="60">
        <f t="shared" si="0"/>
        <v>35000</v>
      </c>
      <c r="AI16" s="60">
        <f t="shared" si="14"/>
        <v>10357.039193336692</v>
      </c>
      <c r="AJ16" s="62">
        <f t="shared" si="1"/>
        <v>1293534.7882631836</v>
      </c>
    </row>
    <row r="17" spans="1:36" x14ac:dyDescent="0.25">
      <c r="A17" s="2">
        <v>10</v>
      </c>
      <c r="B17" s="36">
        <f t="shared" si="2"/>
        <v>1</v>
      </c>
      <c r="C17" s="11">
        <f>C16*(1+VLOOKUP(C$6,Data!$A$3:$G$8,6,0))^(1/12)</f>
        <v>4612.7798559210078</v>
      </c>
      <c r="D17" s="59">
        <f>C17*VLOOKUP(C$6,Data!$A$4:$G$8,3,FALSE)</f>
        <v>2306.3899279605039</v>
      </c>
      <c r="E17" s="37">
        <f>VLOOKUP(C$6,Data!$A$3:$G$8,5,FALSE)</f>
        <v>7.0000000000000007E-2</v>
      </c>
      <c r="F17" s="58">
        <f t="shared" si="3"/>
        <v>322.8945899144706</v>
      </c>
      <c r="G17" s="75">
        <f>F17*VLOOKUP(C$6,Data!$A$4:$G$8,2,FALSE)</f>
        <v>1614.4729495723529</v>
      </c>
      <c r="H17" s="75">
        <f t="shared" si="4"/>
        <v>691.91697838815094</v>
      </c>
      <c r="I17" s="11">
        <f>I16*(1+VLOOKUP(I$6,Data!$A$3:$G$8,6,0))^(1/12)</f>
        <v>9112.6402749671706</v>
      </c>
      <c r="J17" s="59">
        <f>I17*VLOOKUP(I$6,Data!$A$4:$G$8,3,FALSE)</f>
        <v>2733.7920824901512</v>
      </c>
      <c r="K17" s="37">
        <f>VLOOKUP(I$6,Data!$A$3:$G$8,5,FALSE)</f>
        <v>0.06</v>
      </c>
      <c r="L17" s="58">
        <f t="shared" si="5"/>
        <v>546.75841649803021</v>
      </c>
      <c r="M17" s="75">
        <f>L17*VLOOKUP(I$6,Data!$A$4:$G$8,2,FALSE)</f>
        <v>3280.5504989881811</v>
      </c>
      <c r="N17" s="75">
        <f t="shared" si="6"/>
        <v>-546.75841649802987</v>
      </c>
      <c r="O17" s="11">
        <f>O16*(1+VLOOKUP(O$6,Data!$A$3:$G$8,6,0))^(1/12)</f>
        <v>7971.643846128688</v>
      </c>
      <c r="P17" s="59">
        <f>O17*VLOOKUP(O$6,Data!$A$4:$G$8,3,FALSE)</f>
        <v>7971.643846128688</v>
      </c>
      <c r="Q17" s="37">
        <f>VLOOKUP(O$6,Data!$A$3:$G$8,5,FALSE)</f>
        <v>0.05</v>
      </c>
      <c r="R17" s="58">
        <f t="shared" si="7"/>
        <v>398.58219230643442</v>
      </c>
      <c r="S17" s="75">
        <f>R17*VLOOKUP(O$6,Data!$A$4:$G$8,2,FALSE)</f>
        <v>2989.3664422982583</v>
      </c>
      <c r="T17" s="75">
        <f t="shared" si="8"/>
        <v>4982.2774038304296</v>
      </c>
      <c r="U17" s="11">
        <f>U16*(1+VLOOKUP(U$6,Data!$A$3:$G$8,6,0))^(1/12)</f>
        <v>10763.152997149018</v>
      </c>
      <c r="V17" s="59">
        <f>U17*VLOOKUP(U$6,Data!$A$4:$G$8,3,FALSE)</f>
        <v>26907.882492872544</v>
      </c>
      <c r="W17" s="37">
        <f>VLOOKUP(U$6,Data!$A$3:$G$8,5,FALSE)</f>
        <v>7.0000000000000007E-2</v>
      </c>
      <c r="X17" s="58">
        <f t="shared" si="9"/>
        <v>753.42070980043138</v>
      </c>
      <c r="Y17" s="75">
        <f>X17*VLOOKUP(U$6,Data!$A$4:$G$8,2,FALSE)</f>
        <v>6404.0760333036669</v>
      </c>
      <c r="Z17" s="82">
        <f t="shared" si="10"/>
        <v>20503.806459568877</v>
      </c>
      <c r="AA17" s="11">
        <f>AA16*(1+VLOOKUP(AA$6,Data!$A$3:$G$8,6,0))^(1/12)</f>
        <v>10168.867922524445</v>
      </c>
      <c r="AB17" s="59">
        <f>AA17*VLOOKUP(AA$6,Data!$A$4:$G$8,3,FALSE)</f>
        <v>27964.386786942225</v>
      </c>
      <c r="AC17" s="37">
        <f>VLOOKUP(AA$6,Data!$A$3:$G$8,5,FALSE)</f>
        <v>0.08</v>
      </c>
      <c r="AD17" s="58">
        <f t="shared" si="11"/>
        <v>813.50943380195565</v>
      </c>
      <c r="AE17" s="75">
        <f>AD17*VLOOKUP(AA$6,Data!$A$4:$G$8,2,FALSE)</f>
        <v>8135.0943380195567</v>
      </c>
      <c r="AF17" s="82">
        <f t="shared" si="12"/>
        <v>19829.292448922668</v>
      </c>
      <c r="AG17" s="61">
        <f t="shared" si="13"/>
        <v>45460.534874212099</v>
      </c>
      <c r="AH17" s="60">
        <f t="shared" si="0"/>
        <v>35000</v>
      </c>
      <c r="AI17" s="60">
        <f t="shared" si="14"/>
        <v>10460.534874212099</v>
      </c>
      <c r="AJ17" s="62">
        <f t="shared" si="1"/>
        <v>1290997.0621200022</v>
      </c>
    </row>
    <row r="18" spans="1:36" x14ac:dyDescent="0.25">
      <c r="A18" s="2">
        <v>11</v>
      </c>
      <c r="B18" s="36">
        <f t="shared" si="2"/>
        <v>1</v>
      </c>
      <c r="C18" s="11">
        <f>C17*(1+VLOOKUP(C$6,Data!$A$3:$G$8,6,0))^(1/12)</f>
        <v>4620.3982368809211</v>
      </c>
      <c r="D18" s="59">
        <f>C18*VLOOKUP(C$6,Data!$A$4:$G$8,3,FALSE)</f>
        <v>2310.1991184404606</v>
      </c>
      <c r="E18" s="37">
        <f>VLOOKUP(C$6,Data!$A$3:$G$8,5,FALSE)</f>
        <v>7.0000000000000007E-2</v>
      </c>
      <c r="F18" s="58">
        <f t="shared" si="3"/>
        <v>323.42787658166452</v>
      </c>
      <c r="G18" s="75">
        <f>F18*VLOOKUP(C$6,Data!$A$4:$G$8,2,FALSE)</f>
        <v>1617.1393829083227</v>
      </c>
      <c r="H18" s="75">
        <f t="shared" si="4"/>
        <v>693.05973553213789</v>
      </c>
      <c r="I18" s="11">
        <f>I17*(1+VLOOKUP(I$6,Data!$A$3:$G$8,6,0))^(1/12)</f>
        <v>9120.1995573975819</v>
      </c>
      <c r="J18" s="59">
        <f>I18*VLOOKUP(I$6,Data!$A$4:$G$8,3,FALSE)</f>
        <v>2736.0598672192746</v>
      </c>
      <c r="K18" s="37">
        <f>VLOOKUP(I$6,Data!$A$3:$G$8,5,FALSE)</f>
        <v>0.06</v>
      </c>
      <c r="L18" s="58">
        <f t="shared" si="5"/>
        <v>547.21197344385484</v>
      </c>
      <c r="M18" s="75">
        <f>L18*VLOOKUP(I$6,Data!$A$4:$G$8,2,FALSE)</f>
        <v>3283.2718406631293</v>
      </c>
      <c r="N18" s="75">
        <f t="shared" si="6"/>
        <v>-547.21197344385473</v>
      </c>
      <c r="O18" s="11">
        <f>O17*(1+VLOOKUP(O$6,Data!$A$3:$G$8,6,0))^(1/12)</f>
        <v>8004.1213099169745</v>
      </c>
      <c r="P18" s="59">
        <f>O18*VLOOKUP(O$6,Data!$A$4:$G$8,3,FALSE)</f>
        <v>8004.1213099169745</v>
      </c>
      <c r="Q18" s="37">
        <f>VLOOKUP(O$6,Data!$A$3:$G$8,5,FALSE)</f>
        <v>0.05</v>
      </c>
      <c r="R18" s="58">
        <f t="shared" si="7"/>
        <v>400.20606549584875</v>
      </c>
      <c r="S18" s="75">
        <f>R18*VLOOKUP(O$6,Data!$A$4:$G$8,2,FALSE)</f>
        <v>3001.5454912188657</v>
      </c>
      <c r="T18" s="75">
        <f t="shared" si="8"/>
        <v>5002.5758186981093</v>
      </c>
      <c r="U18" s="11">
        <f>U17*(1+VLOOKUP(U$6,Data!$A$3:$G$8,6,0))^(1/12)</f>
        <v>10780.929219388816</v>
      </c>
      <c r="V18" s="59">
        <f>U18*VLOOKUP(U$6,Data!$A$4:$G$8,3,FALSE)</f>
        <v>26952.323048472041</v>
      </c>
      <c r="W18" s="37">
        <f>VLOOKUP(U$6,Data!$A$3:$G$8,5,FALSE)</f>
        <v>7.0000000000000007E-2</v>
      </c>
      <c r="X18" s="58">
        <f t="shared" si="9"/>
        <v>754.6650453572172</v>
      </c>
      <c r="Y18" s="75">
        <f>X18*VLOOKUP(U$6,Data!$A$4:$G$8,2,FALSE)</f>
        <v>6414.6528855363458</v>
      </c>
      <c r="Z18" s="82">
        <f t="shared" si="10"/>
        <v>20537.670162935694</v>
      </c>
      <c r="AA18" s="11">
        <f>AA17*(1+VLOOKUP(AA$6,Data!$A$3:$G$8,6,0))^(1/12)</f>
        <v>10193.947094100316</v>
      </c>
      <c r="AB18" s="59">
        <f>AA18*VLOOKUP(AA$6,Data!$A$4:$G$8,3,FALSE)</f>
        <v>28033.354508775868</v>
      </c>
      <c r="AC18" s="37">
        <f>VLOOKUP(AA$6,Data!$A$3:$G$8,5,FALSE)</f>
        <v>0.08</v>
      </c>
      <c r="AD18" s="58">
        <f t="shared" si="11"/>
        <v>815.51576752802532</v>
      </c>
      <c r="AE18" s="75">
        <f>AD18*VLOOKUP(AA$6,Data!$A$4:$G$8,2,FALSE)</f>
        <v>8155.157675280253</v>
      </c>
      <c r="AF18" s="82">
        <f t="shared" si="12"/>
        <v>19878.196833495615</v>
      </c>
      <c r="AG18" s="61">
        <f t="shared" si="13"/>
        <v>45564.290577217704</v>
      </c>
      <c r="AH18" s="60">
        <f t="shared" si="0"/>
        <v>35000</v>
      </c>
      <c r="AI18" s="60">
        <f t="shared" si="14"/>
        <v>10564.290577217704</v>
      </c>
      <c r="AJ18" s="62">
        <f t="shared" si="1"/>
        <v>1288340.4999469041</v>
      </c>
    </row>
    <row r="19" spans="1:36" x14ac:dyDescent="0.25">
      <c r="A19" s="2">
        <v>12</v>
      </c>
      <c r="B19" s="36">
        <f t="shared" si="2"/>
        <v>1</v>
      </c>
      <c r="C19" s="11">
        <f>C18*(1+VLOOKUP(C$6,Data!$A$3:$G$8,6,0))^(1/12)</f>
        <v>4628.0292002163787</v>
      </c>
      <c r="D19" s="59">
        <f>C19*VLOOKUP(C$6,Data!$A$4:$G$8,3,FALSE)</f>
        <v>2314.0146001081894</v>
      </c>
      <c r="E19" s="37">
        <f>VLOOKUP(C$6,Data!$A$3:$G$8,5,FALSE)</f>
        <v>7.0000000000000007E-2</v>
      </c>
      <c r="F19" s="58">
        <f t="shared" si="3"/>
        <v>323.96204401514655</v>
      </c>
      <c r="G19" s="75">
        <f>F19*VLOOKUP(C$6,Data!$A$4:$G$8,2,FALSE)</f>
        <v>1619.8102200757328</v>
      </c>
      <c r="H19" s="75">
        <f t="shared" si="4"/>
        <v>694.20438003245658</v>
      </c>
      <c r="I19" s="11">
        <f>I18*(1+VLOOKUP(I$6,Data!$A$3:$G$8,6,0))^(1/12)</f>
        <v>9127.7651105408859</v>
      </c>
      <c r="J19" s="59">
        <f>I19*VLOOKUP(I$6,Data!$A$4:$G$8,3,FALSE)</f>
        <v>2738.3295331622658</v>
      </c>
      <c r="K19" s="37">
        <f>VLOOKUP(I$6,Data!$A$3:$G$8,5,FALSE)</f>
        <v>0.06</v>
      </c>
      <c r="L19" s="58">
        <f t="shared" si="5"/>
        <v>547.66590663245313</v>
      </c>
      <c r="M19" s="75">
        <f>L19*VLOOKUP(I$6,Data!$A$4:$G$8,2,FALSE)</f>
        <v>3285.9954397947185</v>
      </c>
      <c r="N19" s="75">
        <f t="shared" si="6"/>
        <v>-547.66590663245279</v>
      </c>
      <c r="O19" s="11">
        <f>O18*(1+VLOOKUP(O$6,Data!$A$3:$G$8,6,0))^(1/12)</f>
        <v>8036.7310909129137</v>
      </c>
      <c r="P19" s="59">
        <f>O19*VLOOKUP(O$6,Data!$A$4:$G$8,3,FALSE)</f>
        <v>8036.7310909129137</v>
      </c>
      <c r="Q19" s="37">
        <f>VLOOKUP(O$6,Data!$A$3:$G$8,5,FALSE)</f>
        <v>0.05</v>
      </c>
      <c r="R19" s="58">
        <f t="shared" si="7"/>
        <v>401.8365545456457</v>
      </c>
      <c r="S19" s="75">
        <f>R19*VLOOKUP(O$6,Data!$A$4:$G$8,2,FALSE)</f>
        <v>3013.7741590923429</v>
      </c>
      <c r="T19" s="75">
        <f t="shared" si="8"/>
        <v>5022.9569318205704</v>
      </c>
      <c r="U19" s="11">
        <f>U18*(1+VLOOKUP(U$6,Data!$A$3:$G$8,6,0))^(1/12)</f>
        <v>10798.734800504884</v>
      </c>
      <c r="V19" s="59">
        <f>U19*VLOOKUP(U$6,Data!$A$4:$G$8,3,FALSE)</f>
        <v>26996.837001262211</v>
      </c>
      <c r="W19" s="37">
        <f>VLOOKUP(U$6,Data!$A$3:$G$8,5,FALSE)</f>
        <v>7.0000000000000007E-2</v>
      </c>
      <c r="X19" s="58">
        <f t="shared" si="9"/>
        <v>755.91143603534192</v>
      </c>
      <c r="Y19" s="75">
        <f>X19*VLOOKUP(U$6,Data!$A$4:$G$8,2,FALSE)</f>
        <v>6425.2472063004061</v>
      </c>
      <c r="Z19" s="82">
        <f t="shared" si="10"/>
        <v>20571.589794961805</v>
      </c>
      <c r="AA19" s="11">
        <f>AA18*(1+VLOOKUP(AA$6,Data!$A$3:$G$8,6,0))^(1/12)</f>
        <v>10219.088117678959</v>
      </c>
      <c r="AB19" s="59">
        <f>AA19*VLOOKUP(AA$6,Data!$A$4:$G$8,3,FALSE)</f>
        <v>28102.492323617138</v>
      </c>
      <c r="AC19" s="37">
        <f>VLOOKUP(AA$6,Data!$A$3:$G$8,5,FALSE)</f>
        <v>0.08</v>
      </c>
      <c r="AD19" s="58">
        <f t="shared" si="11"/>
        <v>817.52704941431671</v>
      </c>
      <c r="AE19" s="75">
        <f>AD19*VLOOKUP(AA$6,Data!$A$4:$G$8,2,FALSE)</f>
        <v>8175.2704941431675</v>
      </c>
      <c r="AF19" s="82">
        <f t="shared" si="12"/>
        <v>19927.221829473972</v>
      </c>
      <c r="AG19" s="61">
        <f t="shared" si="13"/>
        <v>45668.307029656353</v>
      </c>
      <c r="AH19" s="60">
        <f t="shared" si="0"/>
        <v>35000</v>
      </c>
      <c r="AI19" s="60">
        <f t="shared" si="14"/>
        <v>10668.307029656353</v>
      </c>
      <c r="AJ19" s="62">
        <f t="shared" si="1"/>
        <v>1285564.1233675811</v>
      </c>
    </row>
    <row r="20" spans="1:36" x14ac:dyDescent="0.25">
      <c r="A20" s="2">
        <v>13</v>
      </c>
      <c r="B20" s="36">
        <f t="shared" si="2"/>
        <v>2</v>
      </c>
      <c r="C20" s="11">
        <f>C19*(1+VLOOKUP(C$6,Data!$A$3:$G$8,6,0))^(1/12)</f>
        <v>4635.6727667081968</v>
      </c>
      <c r="D20" s="59">
        <f>C20*VLOOKUP(C$6,Data!$A$4:$G$8,3,FALSE)</f>
        <v>2317.8363833540984</v>
      </c>
      <c r="E20" s="37">
        <f>VLOOKUP(C$6,Data!$A$3:$G$8,5,FALSE)</f>
        <v>7.0000000000000007E-2</v>
      </c>
      <c r="F20" s="58">
        <f t="shared" si="3"/>
        <v>324.49709366957381</v>
      </c>
      <c r="G20" s="75">
        <f>F20*VLOOKUP(C$6,Data!$A$4:$G$8,2,FALSE)</f>
        <v>1622.4854683478691</v>
      </c>
      <c r="H20" s="75">
        <f t="shared" si="4"/>
        <v>695.35091500622934</v>
      </c>
      <c r="I20" s="11">
        <f>I19*(1+VLOOKUP(I$6,Data!$A$3:$G$8,6,0))^(1/12)</f>
        <v>9135.3369395988793</v>
      </c>
      <c r="J20" s="59">
        <f>I20*VLOOKUP(I$6,Data!$A$4:$G$8,3,FALSE)</f>
        <v>2740.6010818796635</v>
      </c>
      <c r="K20" s="37">
        <f>VLOOKUP(I$6,Data!$A$3:$G$8,5,FALSE)</f>
        <v>0.06</v>
      </c>
      <c r="L20" s="58">
        <f t="shared" si="5"/>
        <v>548.12021637593273</v>
      </c>
      <c r="M20" s="75">
        <f>L20*VLOOKUP(I$6,Data!$A$4:$G$8,2,FALSE)</f>
        <v>3288.7212982555966</v>
      </c>
      <c r="N20" s="75">
        <f t="shared" si="6"/>
        <v>-548.12021637593307</v>
      </c>
      <c r="O20" s="11">
        <f>O19*(1+VLOOKUP(O$6,Data!$A$3:$G$8,6,0))^(1/12)</f>
        <v>8069.4737281931884</v>
      </c>
      <c r="P20" s="59">
        <f>O20*VLOOKUP(O$6,Data!$A$4:$G$8,3,FALSE)</f>
        <v>8069.4737281931884</v>
      </c>
      <c r="Q20" s="37">
        <f>VLOOKUP(O$6,Data!$A$3:$G$8,5,FALSE)</f>
        <v>0.05</v>
      </c>
      <c r="R20" s="58">
        <f t="shared" si="7"/>
        <v>403.47368640965942</v>
      </c>
      <c r="S20" s="75">
        <f>R20*VLOOKUP(O$6,Data!$A$4:$G$8,2,FALSE)</f>
        <v>3026.0526480724457</v>
      </c>
      <c r="T20" s="75">
        <f t="shared" si="8"/>
        <v>5043.4210801207428</v>
      </c>
      <c r="U20" s="11">
        <f>U19*(1+VLOOKUP(U$6,Data!$A$3:$G$8,6,0))^(1/12)</f>
        <v>10816.569788985793</v>
      </c>
      <c r="V20" s="59">
        <f>U20*VLOOKUP(U$6,Data!$A$4:$G$8,3,FALSE)</f>
        <v>27041.424472464481</v>
      </c>
      <c r="W20" s="37">
        <f>VLOOKUP(U$6,Data!$A$3:$G$8,5,FALSE)</f>
        <v>7.0000000000000007E-2</v>
      </c>
      <c r="X20" s="58">
        <f t="shared" si="9"/>
        <v>757.15988522900557</v>
      </c>
      <c r="Y20" s="75">
        <f>X20*VLOOKUP(U$6,Data!$A$4:$G$8,2,FALSE)</f>
        <v>6435.8590244465477</v>
      </c>
      <c r="Z20" s="82">
        <f t="shared" si="10"/>
        <v>20605.565448017933</v>
      </c>
      <c r="AA20" s="11">
        <f>AA19*(1+VLOOKUP(AA$6,Data!$A$3:$G$8,6,0))^(1/12)</f>
        <v>10244.291145804098</v>
      </c>
      <c r="AB20" s="59">
        <f>AA20*VLOOKUP(AA$6,Data!$A$4:$G$8,3,FALSE)</f>
        <v>28171.800650961268</v>
      </c>
      <c r="AC20" s="37">
        <f>VLOOKUP(AA$6,Data!$A$3:$G$8,5,FALSE)</f>
        <v>0.08</v>
      </c>
      <c r="AD20" s="58">
        <f t="shared" si="11"/>
        <v>819.54329166432785</v>
      </c>
      <c r="AE20" s="75">
        <f>AD20*VLOOKUP(AA$6,Data!$A$4:$G$8,2,FALSE)</f>
        <v>8195.4329166432781</v>
      </c>
      <c r="AF20" s="82">
        <f t="shared" si="12"/>
        <v>19976.367734317988</v>
      </c>
      <c r="AG20" s="61">
        <f t="shared" si="13"/>
        <v>45772.584961086963</v>
      </c>
      <c r="AH20" s="60">
        <f t="shared" si="0"/>
        <v>35000</v>
      </c>
      <c r="AI20" s="60">
        <f t="shared" si="14"/>
        <v>10772.584961086963</v>
      </c>
      <c r="AJ20" s="62">
        <f t="shared" si="1"/>
        <v>1282666.9473642162</v>
      </c>
    </row>
    <row r="21" spans="1:36" x14ac:dyDescent="0.25">
      <c r="A21" s="2">
        <v>14</v>
      </c>
      <c r="B21" s="36">
        <f t="shared" si="2"/>
        <v>2</v>
      </c>
      <c r="C21" s="11">
        <f>C20*(1+VLOOKUP(C$6,Data!$A$3:$G$8,6,0))^(1/12)</f>
        <v>4643.3289571715131</v>
      </c>
      <c r="D21" s="59">
        <f>C21*VLOOKUP(C$6,Data!$A$4:$G$8,3,FALSE)</f>
        <v>2321.6644785857566</v>
      </c>
      <c r="E21" s="37">
        <f>VLOOKUP(C$6,Data!$A$3:$G$8,5,FALSE)</f>
        <v>7.0000000000000007E-2</v>
      </c>
      <c r="F21" s="58">
        <f t="shared" si="3"/>
        <v>325.03302700200595</v>
      </c>
      <c r="G21" s="75">
        <f>F21*VLOOKUP(C$6,Data!$A$4:$G$8,2,FALSE)</f>
        <v>1625.1651350100296</v>
      </c>
      <c r="H21" s="75">
        <f t="shared" si="4"/>
        <v>696.49934357572693</v>
      </c>
      <c r="I21" s="11">
        <f>I20*(1+VLOOKUP(I$6,Data!$A$3:$G$8,6,0))^(1/12)</f>
        <v>9142.9150497776718</v>
      </c>
      <c r="J21" s="59">
        <f>I21*VLOOKUP(I$6,Data!$A$4:$G$8,3,FALSE)</f>
        <v>2742.8745149333013</v>
      </c>
      <c r="K21" s="37">
        <f>VLOOKUP(I$6,Data!$A$3:$G$8,5,FALSE)</f>
        <v>0.06</v>
      </c>
      <c r="L21" s="58">
        <f t="shared" si="5"/>
        <v>548.57490298666028</v>
      </c>
      <c r="M21" s="75">
        <f>L21*VLOOKUP(I$6,Data!$A$4:$G$8,2,FALSE)</f>
        <v>3291.4494179199619</v>
      </c>
      <c r="N21" s="75">
        <f t="shared" si="6"/>
        <v>-548.57490298666062</v>
      </c>
      <c r="O21" s="11">
        <f>O20*(1+VLOOKUP(O$6,Data!$A$3:$G$8,6,0))^(1/12)</f>
        <v>8102.3497630307456</v>
      </c>
      <c r="P21" s="59">
        <f>O21*VLOOKUP(O$6,Data!$A$4:$G$8,3,FALSE)</f>
        <v>8102.3497630307456</v>
      </c>
      <c r="Q21" s="37">
        <f>VLOOKUP(O$6,Data!$A$3:$G$8,5,FALSE)</f>
        <v>0.05</v>
      </c>
      <c r="R21" s="58">
        <f t="shared" si="7"/>
        <v>405.11748815153732</v>
      </c>
      <c r="S21" s="75">
        <f>R21*VLOOKUP(O$6,Data!$A$4:$G$8,2,FALSE)</f>
        <v>3038.38116113653</v>
      </c>
      <c r="T21" s="75">
        <f t="shared" si="8"/>
        <v>5063.9686018942157</v>
      </c>
      <c r="U21" s="11">
        <f>U20*(1+VLOOKUP(U$6,Data!$A$3:$G$8,6,0))^(1/12)</f>
        <v>10834.434233400198</v>
      </c>
      <c r="V21" s="59">
        <f>U21*VLOOKUP(U$6,Data!$A$4:$G$8,3,FALSE)</f>
        <v>27086.085583500495</v>
      </c>
      <c r="W21" s="37">
        <f>VLOOKUP(U$6,Data!$A$3:$G$8,5,FALSE)</f>
        <v>7.0000000000000007E-2</v>
      </c>
      <c r="X21" s="58">
        <f t="shared" si="9"/>
        <v>758.41039633801392</v>
      </c>
      <c r="Y21" s="75">
        <f>X21*VLOOKUP(U$6,Data!$A$4:$G$8,2,FALSE)</f>
        <v>6446.4883688731188</v>
      </c>
      <c r="Z21" s="82">
        <f t="shared" si="10"/>
        <v>20639.597214627378</v>
      </c>
      <c r="AA21" s="11">
        <f>AA20*(1+VLOOKUP(AA$6,Data!$A$3:$G$8,6,0))^(1/12)</f>
        <v>10269.556331395674</v>
      </c>
      <c r="AB21" s="59">
        <f>AA21*VLOOKUP(AA$6,Data!$A$4:$G$8,3,FALSE)</f>
        <v>28241.279911338104</v>
      </c>
      <c r="AC21" s="37">
        <f>VLOOKUP(AA$6,Data!$A$3:$G$8,5,FALSE)</f>
        <v>0.08</v>
      </c>
      <c r="AD21" s="58">
        <f t="shared" si="11"/>
        <v>821.56450651165392</v>
      </c>
      <c r="AE21" s="75">
        <f>AD21*VLOOKUP(AA$6,Data!$A$4:$G$8,2,FALSE)</f>
        <v>8215.6450651165396</v>
      </c>
      <c r="AF21" s="82">
        <f t="shared" si="12"/>
        <v>20025.634846221565</v>
      </c>
      <c r="AG21" s="61">
        <f t="shared" si="13"/>
        <v>45877.125103332219</v>
      </c>
      <c r="AH21" s="60">
        <f t="shared" si="0"/>
        <v>35000</v>
      </c>
      <c r="AI21" s="60">
        <f t="shared" si="14"/>
        <v>10877.125103332219</v>
      </c>
      <c r="AJ21" s="62">
        <f t="shared" si="1"/>
        <v>1279647.9802350814</v>
      </c>
    </row>
    <row r="22" spans="1:36" x14ac:dyDescent="0.25">
      <c r="A22" s="2">
        <v>15</v>
      </c>
      <c r="B22" s="36">
        <f t="shared" si="2"/>
        <v>2</v>
      </c>
      <c r="C22" s="11">
        <f>C21*(1+VLOOKUP(C$6,Data!$A$3:$G$8,6,0))^(1/12)</f>
        <v>4650.9977924558425</v>
      </c>
      <c r="D22" s="59">
        <f>C22*VLOOKUP(C$6,Data!$A$4:$G$8,3,FALSE)</f>
        <v>2325.4988962279213</v>
      </c>
      <c r="E22" s="37">
        <f>VLOOKUP(C$6,Data!$A$3:$G$8,5,FALSE)</f>
        <v>7.0000000000000007E-2</v>
      </c>
      <c r="F22" s="58">
        <f t="shared" si="3"/>
        <v>325.56984547190899</v>
      </c>
      <c r="G22" s="75">
        <f>F22*VLOOKUP(C$6,Data!$A$4:$G$8,2,FALSE)</f>
        <v>1627.849227359545</v>
      </c>
      <c r="H22" s="75">
        <f t="shared" si="4"/>
        <v>697.64966886837624</v>
      </c>
      <c r="I22" s="11">
        <f>I21*(1+VLOOKUP(I$6,Data!$A$3:$G$8,6,0))^(1/12)</f>
        <v>9150.4994462876912</v>
      </c>
      <c r="J22" s="59">
        <f>I22*VLOOKUP(I$6,Data!$A$4:$G$8,3,FALSE)</f>
        <v>2745.1498338863071</v>
      </c>
      <c r="K22" s="37">
        <f>VLOOKUP(I$6,Data!$A$3:$G$8,5,FALSE)</f>
        <v>0.06</v>
      </c>
      <c r="L22" s="58">
        <f t="shared" si="5"/>
        <v>549.02996677726151</v>
      </c>
      <c r="M22" s="75">
        <f>L22*VLOOKUP(I$6,Data!$A$4:$G$8,2,FALSE)</f>
        <v>3294.179800663569</v>
      </c>
      <c r="N22" s="75">
        <f t="shared" si="6"/>
        <v>-549.02996677726196</v>
      </c>
      <c r="O22" s="11">
        <f>O21*(1+VLOOKUP(O$6,Data!$A$3:$G$8,6,0))^(1/12)</f>
        <v>8135.3597389037468</v>
      </c>
      <c r="P22" s="59">
        <f>O22*VLOOKUP(O$6,Data!$A$4:$G$8,3,FALSE)</f>
        <v>8135.3597389037468</v>
      </c>
      <c r="Q22" s="37">
        <f>VLOOKUP(O$6,Data!$A$3:$G$8,5,FALSE)</f>
        <v>0.05</v>
      </c>
      <c r="R22" s="58">
        <f t="shared" si="7"/>
        <v>406.76798694518737</v>
      </c>
      <c r="S22" s="75">
        <f>R22*VLOOKUP(O$6,Data!$A$4:$G$8,2,FALSE)</f>
        <v>3050.7599020889052</v>
      </c>
      <c r="T22" s="75">
        <f t="shared" si="8"/>
        <v>5084.5998368148412</v>
      </c>
      <c r="U22" s="11">
        <f>U21*(1+VLOOKUP(U$6,Data!$A$3:$G$8,6,0))^(1/12)</f>
        <v>10852.328182396966</v>
      </c>
      <c r="V22" s="59">
        <f>U22*VLOOKUP(U$6,Data!$A$4:$G$8,3,FALSE)</f>
        <v>27130.820455992416</v>
      </c>
      <c r="W22" s="37">
        <f>VLOOKUP(U$6,Data!$A$3:$G$8,5,FALSE)</f>
        <v>7.0000000000000007E-2</v>
      </c>
      <c r="X22" s="58">
        <f t="shared" si="9"/>
        <v>759.66297276778778</v>
      </c>
      <c r="Y22" s="75">
        <f>X22*VLOOKUP(U$6,Data!$A$4:$G$8,2,FALSE)</f>
        <v>6457.1352685261963</v>
      </c>
      <c r="Z22" s="82">
        <f t="shared" si="10"/>
        <v>20673.685187466221</v>
      </c>
      <c r="AA22" s="11">
        <f>AA21*(1+VLOOKUP(AA$6,Data!$A$3:$G$8,6,0))^(1/12)</f>
        <v>10294.883827750764</v>
      </c>
      <c r="AB22" s="59">
        <f>AA22*VLOOKUP(AA$6,Data!$A$4:$G$8,3,FALSE)</f>
        <v>28310.930526314602</v>
      </c>
      <c r="AC22" s="37">
        <f>VLOOKUP(AA$6,Data!$A$3:$G$8,5,FALSE)</f>
        <v>0.08</v>
      </c>
      <c r="AD22" s="58">
        <f t="shared" si="11"/>
        <v>823.59070622006118</v>
      </c>
      <c r="AE22" s="75">
        <f>AD22*VLOOKUP(AA$6,Data!$A$4:$G$8,2,FALSE)</f>
        <v>8235.9070622006111</v>
      </c>
      <c r="AF22" s="82">
        <f t="shared" si="12"/>
        <v>20075.02346411399</v>
      </c>
      <c r="AG22" s="61">
        <f t="shared" si="13"/>
        <v>45981.928190486171</v>
      </c>
      <c r="AH22" s="60">
        <f t="shared" si="0"/>
        <v>35000</v>
      </c>
      <c r="AI22" s="60">
        <f t="shared" si="14"/>
        <v>10981.928190486171</v>
      </c>
      <c r="AJ22" s="62">
        <f t="shared" si="1"/>
        <v>1276506.2235518689</v>
      </c>
    </row>
    <row r="23" spans="1:36" x14ac:dyDescent="0.25">
      <c r="A23" s="2">
        <v>16</v>
      </c>
      <c r="B23" s="36">
        <f t="shared" si="2"/>
        <v>2</v>
      </c>
      <c r="C23" s="11">
        <f>C22*(1+VLOOKUP(C$6,Data!$A$3:$G$8,6,0))^(1/12)</f>
        <v>4658.679293445135</v>
      </c>
      <c r="D23" s="59">
        <f>C23*VLOOKUP(C$6,Data!$A$4:$G$8,3,FALSE)</f>
        <v>2329.3396467225675</v>
      </c>
      <c r="E23" s="37">
        <f>VLOOKUP(C$6,Data!$A$3:$G$8,5,FALSE)</f>
        <v>7.0000000000000007E-2</v>
      </c>
      <c r="F23" s="58">
        <f t="shared" si="3"/>
        <v>326.10755054115947</v>
      </c>
      <c r="G23" s="75">
        <f>F23*VLOOKUP(C$6,Data!$A$4:$G$8,2,FALSE)</f>
        <v>1630.5377527057974</v>
      </c>
      <c r="H23" s="75">
        <f t="shared" si="4"/>
        <v>698.80189401677012</v>
      </c>
      <c r="I23" s="11">
        <f>I22*(1+VLOOKUP(I$6,Data!$A$3:$G$8,6,0))^(1/12)</f>
        <v>9158.0901343436908</v>
      </c>
      <c r="J23" s="59">
        <f>I23*VLOOKUP(I$6,Data!$A$4:$G$8,3,FALSE)</f>
        <v>2747.4270403031073</v>
      </c>
      <c r="K23" s="37">
        <f>VLOOKUP(I$6,Data!$A$3:$G$8,5,FALSE)</f>
        <v>0.06</v>
      </c>
      <c r="L23" s="58">
        <f t="shared" si="5"/>
        <v>549.48540806062147</v>
      </c>
      <c r="M23" s="75">
        <f>L23*VLOOKUP(I$6,Data!$A$4:$G$8,2,FALSE)</f>
        <v>3296.9124483637288</v>
      </c>
      <c r="N23" s="75">
        <f t="shared" si="6"/>
        <v>-549.48540806062147</v>
      </c>
      <c r="O23" s="11">
        <f>O22*(1+VLOOKUP(O$6,Data!$A$3:$G$8,6,0))^(1/12)</f>
        <v>8168.5042015045501</v>
      </c>
      <c r="P23" s="59">
        <f>O23*VLOOKUP(O$6,Data!$A$4:$G$8,3,FALSE)</f>
        <v>8168.5042015045501</v>
      </c>
      <c r="Q23" s="37">
        <f>VLOOKUP(O$6,Data!$A$3:$G$8,5,FALSE)</f>
        <v>0.05</v>
      </c>
      <c r="R23" s="58">
        <f t="shared" si="7"/>
        <v>408.42521007522754</v>
      </c>
      <c r="S23" s="75">
        <f>R23*VLOOKUP(O$6,Data!$A$4:$G$8,2,FALSE)</f>
        <v>3063.1890755642066</v>
      </c>
      <c r="T23" s="75">
        <f t="shared" si="8"/>
        <v>5105.3151259403439</v>
      </c>
      <c r="U23" s="11">
        <f>U22*(1+VLOOKUP(U$6,Data!$A$3:$G$8,6,0))^(1/12)</f>
        <v>10870.251684705316</v>
      </c>
      <c r="V23" s="59">
        <f>U23*VLOOKUP(U$6,Data!$A$4:$G$8,3,FALSE)</f>
        <v>27175.629211763291</v>
      </c>
      <c r="W23" s="37">
        <f>VLOOKUP(U$6,Data!$A$3:$G$8,5,FALSE)</f>
        <v>7.0000000000000007E-2</v>
      </c>
      <c r="X23" s="58">
        <f t="shared" si="9"/>
        <v>760.91761792937223</v>
      </c>
      <c r="Y23" s="75">
        <f>X23*VLOOKUP(U$6,Data!$A$4:$G$8,2,FALSE)</f>
        <v>6467.7997523996637</v>
      </c>
      <c r="Z23" s="82">
        <f t="shared" si="10"/>
        <v>20707.829459363627</v>
      </c>
      <c r="AA23" s="11">
        <f>AA22*(1+VLOOKUP(AA$6,Data!$A$3:$G$8,6,0))^(1/12)</f>
        <v>10320.273788544524</v>
      </c>
      <c r="AB23" s="59">
        <f>AA23*VLOOKUP(AA$6,Data!$A$4:$G$8,3,FALSE)</f>
        <v>28380.752918497441</v>
      </c>
      <c r="AC23" s="37">
        <f>VLOOKUP(AA$6,Data!$A$3:$G$8,5,FALSE)</f>
        <v>0.08</v>
      </c>
      <c r="AD23" s="58">
        <f t="shared" si="11"/>
        <v>825.62190308356196</v>
      </c>
      <c r="AE23" s="75">
        <f>AD23*VLOOKUP(AA$6,Data!$A$4:$G$8,2,FALSE)</f>
        <v>8256.2190308356203</v>
      </c>
      <c r="AF23" s="82">
        <f t="shared" si="12"/>
        <v>20124.533887661819</v>
      </c>
      <c r="AG23" s="61">
        <f t="shared" si="13"/>
        <v>46086.99495892194</v>
      </c>
      <c r="AH23" s="60">
        <f t="shared" si="0"/>
        <v>35000</v>
      </c>
      <c r="AI23" s="60">
        <f t="shared" si="14"/>
        <v>11086.99495892194</v>
      </c>
      <c r="AJ23" s="62">
        <f t="shared" si="1"/>
        <v>1273240.6721167581</v>
      </c>
    </row>
    <row r="24" spans="1:36" x14ac:dyDescent="0.25">
      <c r="A24" s="2">
        <v>17</v>
      </c>
      <c r="B24" s="36">
        <f t="shared" si="2"/>
        <v>2</v>
      </c>
      <c r="C24" s="11">
        <f>C23*(1+VLOOKUP(C$6,Data!$A$3:$G$8,6,0))^(1/12)</f>
        <v>4666.3734810578317</v>
      </c>
      <c r="D24" s="59">
        <f>C24*VLOOKUP(C$6,Data!$A$4:$G$8,3,FALSE)</f>
        <v>2333.1867405289158</v>
      </c>
      <c r="E24" s="37">
        <f>VLOOKUP(C$6,Data!$A$3:$G$8,5,FALSE)</f>
        <v>7.0000000000000007E-2</v>
      </c>
      <c r="F24" s="58">
        <f t="shared" si="3"/>
        <v>326.64614367404823</v>
      </c>
      <c r="G24" s="75">
        <f>F24*VLOOKUP(C$6,Data!$A$4:$G$8,2,FALSE)</f>
        <v>1633.2307183702412</v>
      </c>
      <c r="H24" s="75">
        <f t="shared" si="4"/>
        <v>699.95602215867461</v>
      </c>
      <c r="I24" s="11">
        <f>I23*(1+VLOOKUP(I$6,Data!$A$3:$G$8,6,0))^(1/12)</f>
        <v>9165.687119164746</v>
      </c>
      <c r="J24" s="59">
        <f>I24*VLOOKUP(I$6,Data!$A$4:$G$8,3,FALSE)</f>
        <v>2749.7061357494235</v>
      </c>
      <c r="K24" s="37">
        <f>VLOOKUP(I$6,Data!$A$3:$G$8,5,FALSE)</f>
        <v>0.06</v>
      </c>
      <c r="L24" s="58">
        <f t="shared" si="5"/>
        <v>549.94122714988475</v>
      </c>
      <c r="M24" s="75">
        <f>L24*VLOOKUP(I$6,Data!$A$4:$G$8,2,FALSE)</f>
        <v>3299.6473628993085</v>
      </c>
      <c r="N24" s="75">
        <f t="shared" si="6"/>
        <v>-549.94122714988498</v>
      </c>
      <c r="O24" s="11">
        <f>O23*(1+VLOOKUP(O$6,Data!$A$3:$G$8,6,0))^(1/12)</f>
        <v>8201.7836987487317</v>
      </c>
      <c r="P24" s="59">
        <f>O24*VLOOKUP(O$6,Data!$A$4:$G$8,3,FALSE)</f>
        <v>8201.7836987487317</v>
      </c>
      <c r="Q24" s="37">
        <f>VLOOKUP(O$6,Data!$A$3:$G$8,5,FALSE)</f>
        <v>0.05</v>
      </c>
      <c r="R24" s="58">
        <f t="shared" si="7"/>
        <v>410.08918493743658</v>
      </c>
      <c r="S24" s="75">
        <f>R24*VLOOKUP(O$6,Data!$A$4:$G$8,2,FALSE)</f>
        <v>3075.6688870307744</v>
      </c>
      <c r="T24" s="75">
        <f t="shared" si="8"/>
        <v>5126.1148117179573</v>
      </c>
      <c r="U24" s="11">
        <f>U23*(1+VLOOKUP(U$6,Data!$A$3:$G$8,6,0))^(1/12)</f>
        <v>10888.204789134941</v>
      </c>
      <c r="V24" s="59">
        <f>U24*VLOOKUP(U$6,Data!$A$4:$G$8,3,FALSE)</f>
        <v>27220.511972837354</v>
      </c>
      <c r="W24" s="37">
        <f>VLOOKUP(U$6,Data!$A$3:$G$8,5,FALSE)</f>
        <v>7.0000000000000007E-2</v>
      </c>
      <c r="X24" s="58">
        <f t="shared" si="9"/>
        <v>762.17433523944601</v>
      </c>
      <c r="Y24" s="75">
        <f>X24*VLOOKUP(U$6,Data!$A$4:$G$8,2,FALSE)</f>
        <v>6478.4818495352911</v>
      </c>
      <c r="Z24" s="82">
        <f t="shared" si="10"/>
        <v>20742.030123302062</v>
      </c>
      <c r="AA24" s="11">
        <f>AA23*(1+VLOOKUP(AA$6,Data!$A$3:$G$8,6,0))^(1/12)</f>
        <v>10345.72636783111</v>
      </c>
      <c r="AB24" s="59">
        <f>AA24*VLOOKUP(AA$6,Data!$A$4:$G$8,3,FALSE)</f>
        <v>28450.747511535552</v>
      </c>
      <c r="AC24" s="37">
        <f>VLOOKUP(AA$6,Data!$A$3:$G$8,5,FALSE)</f>
        <v>0.08</v>
      </c>
      <c r="AD24" s="58">
        <f t="shared" si="11"/>
        <v>827.65810942648886</v>
      </c>
      <c r="AE24" s="75">
        <f>AD24*VLOOKUP(AA$6,Data!$A$4:$G$8,2,FALSE)</f>
        <v>8276.5810942648895</v>
      </c>
      <c r="AF24" s="82">
        <f t="shared" si="12"/>
        <v>20174.166417270662</v>
      </c>
      <c r="AG24" s="61">
        <f t="shared" si="13"/>
        <v>46192.326147299471</v>
      </c>
      <c r="AH24" s="60">
        <f t="shared" si="0"/>
        <v>35000</v>
      </c>
      <c r="AI24" s="60">
        <f t="shared" si="14"/>
        <v>11192.326147299471</v>
      </c>
      <c r="AJ24" s="62">
        <f t="shared" si="1"/>
        <v>1269850.3139192166</v>
      </c>
    </row>
    <row r="25" spans="1:36" x14ac:dyDescent="0.25">
      <c r="A25" s="2">
        <v>18</v>
      </c>
      <c r="B25" s="36">
        <f t="shared" si="2"/>
        <v>2</v>
      </c>
      <c r="C25" s="11">
        <f>C24*(1+VLOOKUP(C$6,Data!$A$3:$G$8,6,0))^(1/12)</f>
        <v>4674.0803762469232</v>
      </c>
      <c r="D25" s="59">
        <f>C25*VLOOKUP(C$6,Data!$A$4:$G$8,3,FALSE)</f>
        <v>2337.0401881234616</v>
      </c>
      <c r="E25" s="37">
        <f>VLOOKUP(C$6,Data!$A$3:$G$8,5,FALSE)</f>
        <v>7.0000000000000007E-2</v>
      </c>
      <c r="F25" s="58">
        <f t="shared" si="3"/>
        <v>327.18562633728465</v>
      </c>
      <c r="G25" s="75">
        <f>F25*VLOOKUP(C$6,Data!$A$4:$G$8,2,FALSE)</f>
        <v>1635.9281316864233</v>
      </c>
      <c r="H25" s="75">
        <f t="shared" si="4"/>
        <v>701.11205643703829</v>
      </c>
      <c r="I25" s="11">
        <f>I24*(1+VLOOKUP(I$6,Data!$A$3:$G$8,6,0))^(1/12)</f>
        <v>9173.290405974265</v>
      </c>
      <c r="J25" s="59">
        <f>I25*VLOOKUP(I$6,Data!$A$4:$G$8,3,FALSE)</f>
        <v>2751.9871217922796</v>
      </c>
      <c r="K25" s="37">
        <f>VLOOKUP(I$6,Data!$A$3:$G$8,5,FALSE)</f>
        <v>0.06</v>
      </c>
      <c r="L25" s="58">
        <f t="shared" si="5"/>
        <v>550.39742435845585</v>
      </c>
      <c r="M25" s="75">
        <f>L25*VLOOKUP(I$6,Data!$A$4:$G$8,2,FALSE)</f>
        <v>3302.3845461507353</v>
      </c>
      <c r="N25" s="75">
        <f t="shared" si="6"/>
        <v>-550.39742435845574</v>
      </c>
      <c r="O25" s="11">
        <f>O24*(1+VLOOKUP(O$6,Data!$A$3:$G$8,6,0))^(1/12)</f>
        <v>8235.1987807841433</v>
      </c>
      <c r="P25" s="59">
        <f>O25*VLOOKUP(O$6,Data!$A$4:$G$8,3,FALSE)</f>
        <v>8235.1987807841433</v>
      </c>
      <c r="Q25" s="37">
        <f>VLOOKUP(O$6,Data!$A$3:$G$8,5,FALSE)</f>
        <v>0.05</v>
      </c>
      <c r="R25" s="58">
        <f t="shared" si="7"/>
        <v>411.75993903920721</v>
      </c>
      <c r="S25" s="75">
        <f>R25*VLOOKUP(O$6,Data!$A$4:$G$8,2,FALSE)</f>
        <v>3088.1995427940542</v>
      </c>
      <c r="T25" s="75">
        <f t="shared" si="8"/>
        <v>5146.9992379900887</v>
      </c>
      <c r="U25" s="11">
        <f>U24*(1+VLOOKUP(U$6,Data!$A$3:$G$8,6,0))^(1/12)</f>
        <v>10906.187544576154</v>
      </c>
      <c r="V25" s="59">
        <f>U25*VLOOKUP(U$6,Data!$A$4:$G$8,3,FALSE)</f>
        <v>27265.468861440386</v>
      </c>
      <c r="W25" s="37">
        <f>VLOOKUP(U$6,Data!$A$3:$G$8,5,FALSE)</f>
        <v>7.0000000000000007E-2</v>
      </c>
      <c r="X25" s="58">
        <f t="shared" si="9"/>
        <v>763.43312812033082</v>
      </c>
      <c r="Y25" s="75">
        <f>X25*VLOOKUP(U$6,Data!$A$4:$G$8,2,FALSE)</f>
        <v>6489.1815890228117</v>
      </c>
      <c r="Z25" s="82">
        <f t="shared" si="10"/>
        <v>20776.287272417576</v>
      </c>
      <c r="AA25" s="11">
        <f>AA24*(1+VLOOKUP(AA$6,Data!$A$3:$G$8,6,0))^(1/12)</f>
        <v>10371.241720044618</v>
      </c>
      <c r="AB25" s="59">
        <f>AA25*VLOOKUP(AA$6,Data!$A$4:$G$8,3,FALSE)</f>
        <v>28520.914730122699</v>
      </c>
      <c r="AC25" s="37">
        <f>VLOOKUP(AA$6,Data!$A$3:$G$8,5,FALSE)</f>
        <v>0.08</v>
      </c>
      <c r="AD25" s="58">
        <f t="shared" si="11"/>
        <v>829.69933760356946</v>
      </c>
      <c r="AE25" s="75">
        <f>AD25*VLOOKUP(AA$6,Data!$A$4:$G$8,2,FALSE)</f>
        <v>8296.9933760356944</v>
      </c>
      <c r="AF25" s="82">
        <f t="shared" si="12"/>
        <v>20223.921354087004</v>
      </c>
      <c r="AG25" s="61">
        <f t="shared" si="13"/>
        <v>46297.92249657325</v>
      </c>
      <c r="AH25" s="60">
        <f t="shared" si="0"/>
        <v>35000</v>
      </c>
      <c r="AI25" s="60">
        <f t="shared" si="14"/>
        <v>11297.92249657325</v>
      </c>
      <c r="AJ25" s="62">
        <f t="shared" si="1"/>
        <v>1266334.1300925303</v>
      </c>
    </row>
    <row r="26" spans="1:36" x14ac:dyDescent="0.25">
      <c r="A26" s="2">
        <v>19</v>
      </c>
      <c r="B26" s="36">
        <f t="shared" si="2"/>
        <v>2</v>
      </c>
      <c r="C26" s="11">
        <f>C25*(1+VLOOKUP(C$6,Data!$A$3:$G$8,6,0))^(1/12)</f>
        <v>4681.8000000000047</v>
      </c>
      <c r="D26" s="59">
        <f>C26*VLOOKUP(C$6,Data!$A$4:$G$8,3,FALSE)</f>
        <v>2340.9000000000024</v>
      </c>
      <c r="E26" s="37">
        <f>VLOOKUP(C$6,Data!$A$3:$G$8,5,FALSE)</f>
        <v>7.0000000000000007E-2</v>
      </c>
      <c r="F26" s="58">
        <f t="shared" si="3"/>
        <v>327.72600000000034</v>
      </c>
      <c r="G26" s="75">
        <f>F26*VLOOKUP(C$6,Data!$A$4:$G$8,2,FALSE)</f>
        <v>1638.6300000000017</v>
      </c>
      <c r="H26" s="75">
        <f t="shared" si="4"/>
        <v>702.27000000000066</v>
      </c>
      <c r="I26" s="11">
        <f>I25*(1+VLOOKUP(I$6,Data!$A$3:$G$8,6,0))^(1/12)</f>
        <v>9180.8999999999869</v>
      </c>
      <c r="J26" s="59">
        <f>I26*VLOOKUP(I$6,Data!$A$4:$G$8,3,FALSE)</f>
        <v>2754.2699999999959</v>
      </c>
      <c r="K26" s="37">
        <f>VLOOKUP(I$6,Data!$A$3:$G$8,5,FALSE)</f>
        <v>0.06</v>
      </c>
      <c r="L26" s="58">
        <f t="shared" si="5"/>
        <v>550.85399999999925</v>
      </c>
      <c r="M26" s="75">
        <f>L26*VLOOKUP(I$6,Data!$A$4:$G$8,2,FALSE)</f>
        <v>3305.1239999999952</v>
      </c>
      <c r="N26" s="75">
        <f t="shared" si="6"/>
        <v>-550.85399999999936</v>
      </c>
      <c r="O26" s="11">
        <f>O25*(1+VLOOKUP(O$6,Data!$A$3:$G$8,6,0))^(1/12)</f>
        <v>8268.7500000000073</v>
      </c>
      <c r="P26" s="59">
        <f>O26*VLOOKUP(O$6,Data!$A$4:$G$8,3,FALSE)</f>
        <v>8268.7500000000073</v>
      </c>
      <c r="Q26" s="37">
        <f>VLOOKUP(O$6,Data!$A$3:$G$8,5,FALSE)</f>
        <v>0.05</v>
      </c>
      <c r="R26" s="58">
        <f t="shared" si="7"/>
        <v>413.4375000000004</v>
      </c>
      <c r="S26" s="75">
        <f>R26*VLOOKUP(O$6,Data!$A$4:$G$8,2,FALSE)</f>
        <v>3100.7812500000032</v>
      </c>
      <c r="T26" s="75">
        <f t="shared" si="8"/>
        <v>5167.9687500000036</v>
      </c>
      <c r="U26" s="11">
        <f>U25*(1+VLOOKUP(U$6,Data!$A$3:$G$8,6,0))^(1/12)</f>
        <v>10924.200000000012</v>
      </c>
      <c r="V26" s="59">
        <f>U26*VLOOKUP(U$6,Data!$A$4:$G$8,3,FALSE)</f>
        <v>27310.500000000029</v>
      </c>
      <c r="W26" s="37">
        <f>VLOOKUP(U$6,Data!$A$3:$G$8,5,FALSE)</f>
        <v>7.0000000000000007E-2</v>
      </c>
      <c r="X26" s="58">
        <f t="shared" si="9"/>
        <v>764.69400000000087</v>
      </c>
      <c r="Y26" s="75">
        <f>X26*VLOOKUP(U$6,Data!$A$4:$G$8,2,FALSE)</f>
        <v>6499.8990000000076</v>
      </c>
      <c r="Z26" s="82">
        <f t="shared" si="10"/>
        <v>20810.601000000021</v>
      </c>
      <c r="AA26" s="11">
        <f>AA25*(1+VLOOKUP(AA$6,Data!$A$3:$G$8,6,0))^(1/12)</f>
        <v>10396.82000000002</v>
      </c>
      <c r="AB26" s="59">
        <f>AA26*VLOOKUP(AA$6,Data!$A$4:$G$8,3,FALSE)</f>
        <v>28591.255000000056</v>
      </c>
      <c r="AC26" s="37">
        <f>VLOOKUP(AA$6,Data!$A$3:$G$8,5,FALSE)</f>
        <v>0.08</v>
      </c>
      <c r="AD26" s="58">
        <f t="shared" si="11"/>
        <v>831.74560000000156</v>
      </c>
      <c r="AE26" s="75">
        <f>AD26*VLOOKUP(AA$6,Data!$A$4:$G$8,2,FALSE)</f>
        <v>8317.4560000000165</v>
      </c>
      <c r="AF26" s="82">
        <f t="shared" si="12"/>
        <v>20273.799000000039</v>
      </c>
      <c r="AG26" s="61">
        <f t="shared" si="13"/>
        <v>46403.784750000064</v>
      </c>
      <c r="AH26" s="60">
        <f t="shared" si="0"/>
        <v>35000</v>
      </c>
      <c r="AI26" s="60">
        <f t="shared" si="14"/>
        <v>11403.784750000064</v>
      </c>
      <c r="AJ26" s="62">
        <f t="shared" si="1"/>
        <v>1262691.0948700632</v>
      </c>
    </row>
    <row r="27" spans="1:36" x14ac:dyDescent="0.25">
      <c r="A27" s="2">
        <v>20</v>
      </c>
      <c r="B27" s="36">
        <f t="shared" si="2"/>
        <v>2</v>
      </c>
      <c r="C27" s="11">
        <f>C26*(1+VLOOKUP(C$6,Data!$A$3:$G$8,6,0))^(1/12)</f>
        <v>4689.5323733393352</v>
      </c>
      <c r="D27" s="59">
        <f>C27*VLOOKUP(C$6,Data!$A$4:$G$8,3,FALSE)</f>
        <v>2344.7661866696676</v>
      </c>
      <c r="E27" s="37">
        <f>VLOOKUP(C$6,Data!$A$3:$G$8,5,FALSE)</f>
        <v>7.0000000000000007E-2</v>
      </c>
      <c r="F27" s="58">
        <f t="shared" si="3"/>
        <v>328.26726613375348</v>
      </c>
      <c r="G27" s="75">
        <f>F27*VLOOKUP(C$6,Data!$A$4:$G$8,2,FALSE)</f>
        <v>1641.3363306687675</v>
      </c>
      <c r="H27" s="75">
        <f t="shared" si="4"/>
        <v>703.42985600090014</v>
      </c>
      <c r="I27" s="11">
        <f>I26*(1+VLOOKUP(I$6,Data!$A$3:$G$8,6,0))^(1/12)</f>
        <v>9188.5159064739873</v>
      </c>
      <c r="J27" s="59">
        <f>I27*VLOOKUP(I$6,Data!$A$4:$G$8,3,FALSE)</f>
        <v>2756.5547719421961</v>
      </c>
      <c r="K27" s="37">
        <f>VLOOKUP(I$6,Data!$A$3:$G$8,5,FALSE)</f>
        <v>0.06</v>
      </c>
      <c r="L27" s="58">
        <f t="shared" si="5"/>
        <v>551.3109543884392</v>
      </c>
      <c r="M27" s="75">
        <f>L27*VLOOKUP(I$6,Data!$A$4:$G$8,2,FALSE)</f>
        <v>3307.865726330635</v>
      </c>
      <c r="N27" s="75">
        <f t="shared" si="6"/>
        <v>-551.31095438843886</v>
      </c>
      <c r="O27" s="11">
        <f>O26*(1+VLOOKUP(O$6,Data!$A$3:$G$8,6,0))^(1/12)</f>
        <v>8302.4379110360496</v>
      </c>
      <c r="P27" s="59">
        <f>O27*VLOOKUP(O$6,Data!$A$4:$G$8,3,FALSE)</f>
        <v>8302.4379110360496</v>
      </c>
      <c r="Q27" s="37">
        <f>VLOOKUP(O$6,Data!$A$3:$G$8,5,FALSE)</f>
        <v>0.05</v>
      </c>
      <c r="R27" s="58">
        <f t="shared" si="7"/>
        <v>415.12189555180248</v>
      </c>
      <c r="S27" s="75">
        <f>R27*VLOOKUP(O$6,Data!$A$4:$G$8,2,FALSE)</f>
        <v>3113.4142166385186</v>
      </c>
      <c r="T27" s="75">
        <f t="shared" si="8"/>
        <v>5189.0236943975306</v>
      </c>
      <c r="U27" s="11">
        <f>U26*(1+VLOOKUP(U$6,Data!$A$3:$G$8,6,0))^(1/12)</f>
        <v>10942.242204458449</v>
      </c>
      <c r="V27" s="59">
        <f>U27*VLOOKUP(U$6,Data!$A$4:$G$8,3,FALSE)</f>
        <v>27355.605511146125</v>
      </c>
      <c r="W27" s="37">
        <f>VLOOKUP(U$6,Data!$A$3:$G$8,5,FALSE)</f>
        <v>7.0000000000000007E-2</v>
      </c>
      <c r="X27" s="58">
        <f t="shared" si="9"/>
        <v>765.95695431209151</v>
      </c>
      <c r="Y27" s="75">
        <f>X27*VLOOKUP(U$6,Data!$A$4:$G$8,2,FALSE)</f>
        <v>6510.6341116527783</v>
      </c>
      <c r="Z27" s="82">
        <f t="shared" si="10"/>
        <v>20844.971399493348</v>
      </c>
      <c r="AA27" s="11">
        <f>AA26*(1+VLOOKUP(AA$6,Data!$A$3:$G$8,6,0))^(1/12)</f>
        <v>10422.461362894102</v>
      </c>
      <c r="AB27" s="59">
        <f>AA27*VLOOKUP(AA$6,Data!$A$4:$G$8,3,FALSE)</f>
        <v>28661.76874795878</v>
      </c>
      <c r="AC27" s="37">
        <f>VLOOKUP(AA$6,Data!$A$3:$G$8,5,FALSE)</f>
        <v>0.08</v>
      </c>
      <c r="AD27" s="58">
        <f t="shared" si="11"/>
        <v>833.79690903152823</v>
      </c>
      <c r="AE27" s="75">
        <f>AD27*VLOOKUP(AA$6,Data!$A$4:$G$8,2,FALSE)</f>
        <v>8337.9690903152823</v>
      </c>
      <c r="AF27" s="82">
        <f t="shared" si="12"/>
        <v>20323.799657643496</v>
      </c>
      <c r="AG27" s="61">
        <f t="shared" si="13"/>
        <v>46509.913653146839</v>
      </c>
      <c r="AH27" s="60">
        <f t="shared" si="0"/>
        <v>35000</v>
      </c>
      <c r="AI27" s="60">
        <f t="shared" si="14"/>
        <v>11509.913653146839</v>
      </c>
      <c r="AJ27" s="62">
        <f t="shared" si="1"/>
        <v>1258920.175541247</v>
      </c>
    </row>
    <row r="28" spans="1:36" x14ac:dyDescent="0.25">
      <c r="A28" s="2">
        <v>21</v>
      </c>
      <c r="B28" s="36">
        <f t="shared" si="2"/>
        <v>2</v>
      </c>
      <c r="C28" s="11">
        <f>C27*(1+VLOOKUP(C$6,Data!$A$3:$G$8,6,0))^(1/12)</f>
        <v>4697.2775173218924</v>
      </c>
      <c r="D28" s="59">
        <f>C28*VLOOKUP(C$6,Data!$A$4:$G$8,3,FALSE)</f>
        <v>2348.6387586609462</v>
      </c>
      <c r="E28" s="37">
        <f>VLOOKUP(C$6,Data!$A$3:$G$8,5,FALSE)</f>
        <v>7.0000000000000007E-2</v>
      </c>
      <c r="F28" s="58">
        <f t="shared" si="3"/>
        <v>328.80942621253251</v>
      </c>
      <c r="G28" s="75">
        <f>F28*VLOOKUP(C$6,Data!$A$4:$G$8,2,FALSE)</f>
        <v>1644.0471310626626</v>
      </c>
      <c r="H28" s="75">
        <f t="shared" si="4"/>
        <v>704.59162759828359</v>
      </c>
      <c r="I28" s="11">
        <f>I27*(1+VLOOKUP(I$6,Data!$A$3:$G$8,6,0))^(1/12)</f>
        <v>9196.1381306326839</v>
      </c>
      <c r="J28" s="59">
        <f>I28*VLOOKUP(I$6,Data!$A$4:$G$8,3,FALSE)</f>
        <v>2758.841439189805</v>
      </c>
      <c r="K28" s="37">
        <f>VLOOKUP(I$6,Data!$A$3:$G$8,5,FALSE)</f>
        <v>0.06</v>
      </c>
      <c r="L28" s="58">
        <f t="shared" si="5"/>
        <v>551.768287837961</v>
      </c>
      <c r="M28" s="75">
        <f>L28*VLOOKUP(I$6,Data!$A$4:$G$8,2,FALSE)</f>
        <v>3310.609727027766</v>
      </c>
      <c r="N28" s="75">
        <f t="shared" si="6"/>
        <v>-551.768287837961</v>
      </c>
      <c r="O28" s="11">
        <f>O27*(1+VLOOKUP(O$6,Data!$A$3:$G$8,6,0))^(1/12)</f>
        <v>8336.2630707916651</v>
      </c>
      <c r="P28" s="59">
        <f>O28*VLOOKUP(O$6,Data!$A$4:$G$8,3,FALSE)</f>
        <v>8336.2630707916651</v>
      </c>
      <c r="Q28" s="37">
        <f>VLOOKUP(O$6,Data!$A$3:$G$8,5,FALSE)</f>
        <v>0.05</v>
      </c>
      <c r="R28" s="58">
        <f t="shared" si="7"/>
        <v>416.81315353958325</v>
      </c>
      <c r="S28" s="75">
        <f>R28*VLOOKUP(O$6,Data!$A$4:$G$8,2,FALSE)</f>
        <v>3126.0986515468744</v>
      </c>
      <c r="T28" s="75">
        <f t="shared" si="8"/>
        <v>5210.1644192447911</v>
      </c>
      <c r="U28" s="11">
        <f>U27*(1+VLOOKUP(U$6,Data!$A$3:$G$8,6,0))^(1/12)</f>
        <v>10960.314207084415</v>
      </c>
      <c r="V28" s="59">
        <f>U28*VLOOKUP(U$6,Data!$A$4:$G$8,3,FALSE)</f>
        <v>27400.78551771104</v>
      </c>
      <c r="W28" s="37">
        <f>VLOOKUP(U$6,Data!$A$3:$G$8,5,FALSE)</f>
        <v>7.0000000000000007E-2</v>
      </c>
      <c r="X28" s="58">
        <f t="shared" si="9"/>
        <v>767.22199449590914</v>
      </c>
      <c r="Y28" s="75">
        <f>X28*VLOOKUP(U$6,Data!$A$4:$G$8,2,FALSE)</f>
        <v>6521.3869532152275</v>
      </c>
      <c r="Z28" s="82">
        <f t="shared" si="10"/>
        <v>20879.398564495812</v>
      </c>
      <c r="AA28" s="11">
        <f>AA27*(1+VLOOKUP(AA$6,Data!$A$3:$G$8,6,0))^(1/12)</f>
        <v>10448.16596430641</v>
      </c>
      <c r="AB28" s="59">
        <f>AA28*VLOOKUP(AA$6,Data!$A$4:$G$8,3,FALSE)</f>
        <v>28732.456401842628</v>
      </c>
      <c r="AC28" s="37">
        <f>VLOOKUP(AA$6,Data!$A$3:$G$8,5,FALSE)</f>
        <v>0.08</v>
      </c>
      <c r="AD28" s="58">
        <f t="shared" si="11"/>
        <v>835.85327714451284</v>
      </c>
      <c r="AE28" s="75">
        <f>AD28*VLOOKUP(AA$6,Data!$A$4:$G$8,2,FALSE)</f>
        <v>8358.5327714451287</v>
      </c>
      <c r="AF28" s="82">
        <f t="shared" si="12"/>
        <v>20373.923630397498</v>
      </c>
      <c r="AG28" s="61">
        <f t="shared" si="13"/>
        <v>46616.309953898424</v>
      </c>
      <c r="AH28" s="60">
        <f t="shared" si="0"/>
        <v>35000</v>
      </c>
      <c r="AI28" s="60">
        <f t="shared" si="14"/>
        <v>11616.309953898424</v>
      </c>
      <c r="AJ28" s="62">
        <f t="shared" si="1"/>
        <v>1255020.3324072941</v>
      </c>
    </row>
    <row r="29" spans="1:36" x14ac:dyDescent="0.25">
      <c r="A29" s="2">
        <v>22</v>
      </c>
      <c r="B29" s="36">
        <f t="shared" si="2"/>
        <v>2</v>
      </c>
      <c r="C29" s="11">
        <f>C28*(1+VLOOKUP(C$6,Data!$A$3:$G$8,6,0))^(1/12)</f>
        <v>4705.0354530394316</v>
      </c>
      <c r="D29" s="59">
        <f>C29*VLOOKUP(C$6,Data!$A$4:$G$8,3,FALSE)</f>
        <v>2352.5177265197158</v>
      </c>
      <c r="E29" s="37">
        <f>VLOOKUP(C$6,Data!$A$3:$G$8,5,FALSE)</f>
        <v>7.0000000000000007E-2</v>
      </c>
      <c r="F29" s="58">
        <f t="shared" si="3"/>
        <v>329.35248171276027</v>
      </c>
      <c r="G29" s="75">
        <f>F29*VLOOKUP(C$6,Data!$A$4:$G$8,2,FALSE)</f>
        <v>1646.7624085638013</v>
      </c>
      <c r="H29" s="75">
        <f t="shared" si="4"/>
        <v>705.75531795591451</v>
      </c>
      <c r="I29" s="11">
        <f>I28*(1+VLOOKUP(I$6,Data!$A$3:$G$8,6,0))^(1/12)</f>
        <v>9203.7666777168361</v>
      </c>
      <c r="J29" s="59">
        <f>I29*VLOOKUP(I$6,Data!$A$4:$G$8,3,FALSE)</f>
        <v>2761.1300033150505</v>
      </c>
      <c r="K29" s="37">
        <f>VLOOKUP(I$6,Data!$A$3:$G$8,5,FALSE)</f>
        <v>0.06</v>
      </c>
      <c r="L29" s="58">
        <f t="shared" si="5"/>
        <v>552.22600066301015</v>
      </c>
      <c r="M29" s="75">
        <f>L29*VLOOKUP(I$6,Data!$A$4:$G$8,2,FALSE)</f>
        <v>3313.3560039780609</v>
      </c>
      <c r="N29" s="75">
        <f t="shared" si="6"/>
        <v>-552.22600066301038</v>
      </c>
      <c r="O29" s="11">
        <f>O28*(1+VLOOKUP(O$6,Data!$A$3:$G$8,6,0))^(1/12)</f>
        <v>8370.2260384351266</v>
      </c>
      <c r="P29" s="59">
        <f>O29*VLOOKUP(O$6,Data!$A$4:$G$8,3,FALSE)</f>
        <v>8370.2260384351266</v>
      </c>
      <c r="Q29" s="37">
        <f>VLOOKUP(O$6,Data!$A$3:$G$8,5,FALSE)</f>
        <v>0.05</v>
      </c>
      <c r="R29" s="58">
        <f t="shared" si="7"/>
        <v>418.51130192175634</v>
      </c>
      <c r="S29" s="75">
        <f>R29*VLOOKUP(O$6,Data!$A$4:$G$8,2,FALSE)</f>
        <v>3138.8347644131727</v>
      </c>
      <c r="T29" s="75">
        <f t="shared" si="8"/>
        <v>5231.3912740219539</v>
      </c>
      <c r="U29" s="11">
        <f>U28*(1+VLOOKUP(U$6,Data!$A$3:$G$8,6,0))^(1/12)</f>
        <v>10978.416057092007</v>
      </c>
      <c r="V29" s="59">
        <f>U29*VLOOKUP(U$6,Data!$A$4:$G$8,3,FALSE)</f>
        <v>27446.040142730017</v>
      </c>
      <c r="W29" s="37">
        <f>VLOOKUP(U$6,Data!$A$3:$G$8,5,FALSE)</f>
        <v>7.0000000000000007E-2</v>
      </c>
      <c r="X29" s="58">
        <f t="shared" si="9"/>
        <v>768.48912399644053</v>
      </c>
      <c r="Y29" s="75">
        <f>X29*VLOOKUP(U$6,Data!$A$4:$G$8,2,FALSE)</f>
        <v>6532.1575539697442</v>
      </c>
      <c r="Z29" s="82">
        <f t="shared" si="10"/>
        <v>20913.882588760272</v>
      </c>
      <c r="AA29" s="11">
        <f>AA28*(1+VLOOKUP(AA$6,Data!$A$3:$G$8,6,0))^(1/12)</f>
        <v>10473.933960200191</v>
      </c>
      <c r="AB29" s="59">
        <f>AA29*VLOOKUP(AA$6,Data!$A$4:$G$8,3,FALSE)</f>
        <v>28803.318390550525</v>
      </c>
      <c r="AC29" s="37">
        <f>VLOOKUP(AA$6,Data!$A$3:$G$8,5,FALSE)</f>
        <v>0.08</v>
      </c>
      <c r="AD29" s="58">
        <f t="shared" si="11"/>
        <v>837.91471681601524</v>
      </c>
      <c r="AE29" s="75">
        <f>AD29*VLOOKUP(AA$6,Data!$A$4:$G$8,2,FALSE)</f>
        <v>8379.1471681601524</v>
      </c>
      <c r="AF29" s="82">
        <f t="shared" si="12"/>
        <v>20424.171222390374</v>
      </c>
      <c r="AG29" s="61">
        <f t="shared" si="13"/>
        <v>46722.974402465508</v>
      </c>
      <c r="AH29" s="60">
        <f t="shared" si="0"/>
        <v>35000</v>
      </c>
      <c r="AI29" s="60">
        <f t="shared" si="14"/>
        <v>11722.974402465508</v>
      </c>
      <c r="AJ29" s="62">
        <f t="shared" si="1"/>
        <v>1250990.5187366374</v>
      </c>
    </row>
    <row r="30" spans="1:36" x14ac:dyDescent="0.25">
      <c r="A30" s="2">
        <v>23</v>
      </c>
      <c r="B30" s="36">
        <f t="shared" si="2"/>
        <v>2</v>
      </c>
      <c r="C30" s="11">
        <f>C29*(1+VLOOKUP(C$6,Data!$A$3:$G$8,6,0))^(1/12)</f>
        <v>4712.8062016185431</v>
      </c>
      <c r="D30" s="59">
        <f>C30*VLOOKUP(C$6,Data!$A$4:$G$8,3,FALSE)</f>
        <v>2356.4031008092716</v>
      </c>
      <c r="E30" s="37">
        <f>VLOOKUP(C$6,Data!$A$3:$G$8,5,FALSE)</f>
        <v>7.0000000000000007E-2</v>
      </c>
      <c r="F30" s="58">
        <f t="shared" si="3"/>
        <v>329.89643411329803</v>
      </c>
      <c r="G30" s="75">
        <f>F30*VLOOKUP(C$6,Data!$A$4:$G$8,2,FALSE)</f>
        <v>1649.4821705664901</v>
      </c>
      <c r="H30" s="75">
        <f t="shared" si="4"/>
        <v>706.92093024278142</v>
      </c>
      <c r="I30" s="11">
        <f>I29*(1+VLOOKUP(I$6,Data!$A$3:$G$8,6,0))^(1/12)</f>
        <v>9211.4015529715507</v>
      </c>
      <c r="J30" s="59">
        <f>I30*VLOOKUP(I$6,Data!$A$4:$G$8,3,FALSE)</f>
        <v>2763.420465891465</v>
      </c>
      <c r="K30" s="37">
        <f>VLOOKUP(I$6,Data!$A$3:$G$8,5,FALSE)</f>
        <v>0.06</v>
      </c>
      <c r="L30" s="58">
        <f t="shared" si="5"/>
        <v>552.68409317829298</v>
      </c>
      <c r="M30" s="75">
        <f>L30*VLOOKUP(I$6,Data!$A$4:$G$8,2,FALSE)</f>
        <v>3316.1045590697577</v>
      </c>
      <c r="N30" s="75">
        <f t="shared" si="6"/>
        <v>-552.68409317829264</v>
      </c>
      <c r="O30" s="11">
        <f>O29*(1+VLOOKUP(O$6,Data!$A$3:$G$8,6,0))^(1/12)</f>
        <v>8404.3273754128277</v>
      </c>
      <c r="P30" s="59">
        <f>O30*VLOOKUP(O$6,Data!$A$4:$G$8,3,FALSE)</f>
        <v>8404.3273754128277</v>
      </c>
      <c r="Q30" s="37">
        <f>VLOOKUP(O$6,Data!$A$3:$G$8,5,FALSE)</f>
        <v>0.05</v>
      </c>
      <c r="R30" s="58">
        <f t="shared" si="7"/>
        <v>420.2163687706414</v>
      </c>
      <c r="S30" s="75">
        <f>R30*VLOOKUP(O$6,Data!$A$4:$G$8,2,FALSE)</f>
        <v>3151.6227657798104</v>
      </c>
      <c r="T30" s="75">
        <f t="shared" si="8"/>
        <v>5252.7046096330178</v>
      </c>
      <c r="U30" s="11">
        <f>U29*(1+VLOOKUP(U$6,Data!$A$3:$G$8,6,0))^(1/12)</f>
        <v>10996.547803776601</v>
      </c>
      <c r="V30" s="59">
        <f>U30*VLOOKUP(U$6,Data!$A$4:$G$8,3,FALSE)</f>
        <v>27491.369509441502</v>
      </c>
      <c r="W30" s="37">
        <f>VLOOKUP(U$6,Data!$A$3:$G$8,5,FALSE)</f>
        <v>7.0000000000000007E-2</v>
      </c>
      <c r="X30" s="58">
        <f t="shared" si="9"/>
        <v>769.7583462643621</v>
      </c>
      <c r="Y30" s="75">
        <f>X30*VLOOKUP(U$6,Data!$A$4:$G$8,2,FALSE)</f>
        <v>6542.9459432470776</v>
      </c>
      <c r="Z30" s="82">
        <f t="shared" si="10"/>
        <v>20948.423566194426</v>
      </c>
      <c r="AA30" s="11">
        <f>AA29*(1+VLOOKUP(AA$6,Data!$A$3:$G$8,6,0))^(1/12)</f>
        <v>10499.765506923337</v>
      </c>
      <c r="AB30" s="59">
        <f>AA30*VLOOKUP(AA$6,Data!$A$4:$G$8,3,FALSE)</f>
        <v>28874.355144039175</v>
      </c>
      <c r="AC30" s="37">
        <f>VLOOKUP(AA$6,Data!$A$3:$G$8,5,FALSE)</f>
        <v>0.08</v>
      </c>
      <c r="AD30" s="58">
        <f t="shared" si="11"/>
        <v>839.981240553867</v>
      </c>
      <c r="AE30" s="75">
        <f>AD30*VLOOKUP(AA$6,Data!$A$4:$G$8,2,FALSE)</f>
        <v>8399.8124055386706</v>
      </c>
      <c r="AF30" s="82">
        <f t="shared" si="12"/>
        <v>20474.542738500502</v>
      </c>
      <c r="AG30" s="61">
        <f t="shared" si="13"/>
        <v>46829.907751392435</v>
      </c>
      <c r="AH30" s="60">
        <f t="shared" si="0"/>
        <v>35000</v>
      </c>
      <c r="AI30" s="60">
        <f t="shared" si="14"/>
        <v>11829.907751392435</v>
      </c>
      <c r="AJ30" s="62">
        <f t="shared" si="1"/>
        <v>1246829.6807200918</v>
      </c>
    </row>
    <row r="31" spans="1:36" x14ac:dyDescent="0.25">
      <c r="A31" s="2">
        <v>24</v>
      </c>
      <c r="B31" s="36">
        <f t="shared" si="2"/>
        <v>2</v>
      </c>
      <c r="C31" s="11">
        <f>C30*(1+VLOOKUP(C$6,Data!$A$3:$G$8,6,0))^(1/12)</f>
        <v>4720.5897842207096</v>
      </c>
      <c r="D31" s="59">
        <f>C31*VLOOKUP(C$6,Data!$A$4:$G$8,3,FALSE)</f>
        <v>2360.2948921103548</v>
      </c>
      <c r="E31" s="37">
        <f>VLOOKUP(C$6,Data!$A$3:$G$8,5,FALSE)</f>
        <v>7.0000000000000007E-2</v>
      </c>
      <c r="F31" s="58">
        <f t="shared" si="3"/>
        <v>330.44128489544971</v>
      </c>
      <c r="G31" s="75">
        <f>F31*VLOOKUP(C$6,Data!$A$4:$G$8,2,FALSE)</f>
        <v>1652.2064244772487</v>
      </c>
      <c r="H31" s="75">
        <f t="shared" si="4"/>
        <v>708.08846763310612</v>
      </c>
      <c r="I31" s="11">
        <f>I30*(1+VLOOKUP(I$6,Data!$A$3:$G$8,6,0))^(1/12)</f>
        <v>9219.0427616462875</v>
      </c>
      <c r="J31" s="59">
        <f>I31*VLOOKUP(I$6,Data!$A$4:$G$8,3,FALSE)</f>
        <v>2765.7128284938863</v>
      </c>
      <c r="K31" s="37">
        <f>VLOOKUP(I$6,Data!$A$3:$G$8,5,FALSE)</f>
        <v>0.06</v>
      </c>
      <c r="L31" s="58">
        <f t="shared" si="5"/>
        <v>553.14256569877728</v>
      </c>
      <c r="M31" s="75">
        <f>L31*VLOOKUP(I$6,Data!$A$4:$G$8,2,FALSE)</f>
        <v>3318.8553941926639</v>
      </c>
      <c r="N31" s="75">
        <f t="shared" si="6"/>
        <v>-553.14256569877762</v>
      </c>
      <c r="O31" s="11">
        <f>O30*(1+VLOOKUP(O$6,Data!$A$3:$G$8,6,0))^(1/12)</f>
        <v>8438.5676454585646</v>
      </c>
      <c r="P31" s="59">
        <f>O31*VLOOKUP(O$6,Data!$A$4:$G$8,3,FALSE)</f>
        <v>8438.5676454585646</v>
      </c>
      <c r="Q31" s="37">
        <f>VLOOKUP(O$6,Data!$A$3:$G$8,5,FALSE)</f>
        <v>0.05</v>
      </c>
      <c r="R31" s="58">
        <f t="shared" si="7"/>
        <v>421.92838227292827</v>
      </c>
      <c r="S31" s="75">
        <f>R31*VLOOKUP(O$6,Data!$A$4:$G$8,2,FALSE)</f>
        <v>3164.4628670469619</v>
      </c>
      <c r="T31" s="75">
        <f t="shared" si="8"/>
        <v>5274.1047784116026</v>
      </c>
      <c r="U31" s="11">
        <f>U30*(1+VLOOKUP(U$6,Data!$A$3:$G$8,6,0))^(1/12)</f>
        <v>11014.70949651499</v>
      </c>
      <c r="V31" s="59">
        <f>U31*VLOOKUP(U$6,Data!$A$4:$G$8,3,FALSE)</f>
        <v>27536.773741287474</v>
      </c>
      <c r="W31" s="37">
        <f>VLOOKUP(U$6,Data!$A$3:$G$8,5,FALSE)</f>
        <v>7.0000000000000007E-2</v>
      </c>
      <c r="X31" s="58">
        <f t="shared" si="9"/>
        <v>771.02966475604933</v>
      </c>
      <c r="Y31" s="75">
        <f>X31*VLOOKUP(U$6,Data!$A$4:$G$8,2,FALSE)</f>
        <v>6553.7521504264196</v>
      </c>
      <c r="Z31" s="82">
        <f t="shared" si="10"/>
        <v>20983.021590861055</v>
      </c>
      <c r="AA31" s="11">
        <f>AA30*(1+VLOOKUP(AA$6,Data!$A$3:$G$8,6,0))^(1/12)</f>
        <v>10525.660761209339</v>
      </c>
      <c r="AB31" s="59">
        <f>AA31*VLOOKUP(AA$6,Data!$A$4:$G$8,3,FALSE)</f>
        <v>28945.567093325684</v>
      </c>
      <c r="AC31" s="37">
        <f>VLOOKUP(AA$6,Data!$A$3:$G$8,5,FALSE)</f>
        <v>0.08</v>
      </c>
      <c r="AD31" s="58">
        <f t="shared" si="11"/>
        <v>842.05286089674712</v>
      </c>
      <c r="AE31" s="75">
        <f>AD31*VLOOKUP(AA$6,Data!$A$4:$G$8,2,FALSE)</f>
        <v>8420.5286089674719</v>
      </c>
      <c r="AF31" s="82">
        <f t="shared" si="12"/>
        <v>20525.038484358214</v>
      </c>
      <c r="AG31" s="61">
        <f t="shared" si="13"/>
        <v>46937.110755565198</v>
      </c>
      <c r="AH31" s="60">
        <f t="shared" si="0"/>
        <v>35000</v>
      </c>
      <c r="AI31" s="60">
        <f t="shared" si="14"/>
        <v>11937.110755565198</v>
      </c>
      <c r="AJ31" s="62">
        <f t="shared" si="1"/>
        <v>1242536.7574257359</v>
      </c>
    </row>
    <row r="32" spans="1:36" x14ac:dyDescent="0.25">
      <c r="A32" s="2">
        <v>25</v>
      </c>
      <c r="B32" s="36">
        <f t="shared" si="2"/>
        <v>3</v>
      </c>
      <c r="C32" s="11">
        <f>C31*(1+VLOOKUP(C$6,Data!$A$3:$G$8,6,0))^(1/12)</f>
        <v>4728.3862220423644</v>
      </c>
      <c r="D32" s="59">
        <f>C32*VLOOKUP(C$6,Data!$A$4:$G$8,3,FALSE)</f>
        <v>2364.1931110211822</v>
      </c>
      <c r="E32" s="37">
        <f>VLOOKUP(C$6,Data!$A$3:$G$8,5,FALSE)</f>
        <v>7.0000000000000007E-2</v>
      </c>
      <c r="F32" s="58">
        <f t="shared" si="3"/>
        <v>330.98703554296554</v>
      </c>
      <c r="G32" s="75">
        <f>F32*VLOOKUP(C$6,Data!$A$4:$G$8,2,FALSE)</f>
        <v>1654.9351777148277</v>
      </c>
      <c r="H32" s="75">
        <f t="shared" si="4"/>
        <v>709.25793330635452</v>
      </c>
      <c r="I32" s="11">
        <f>I31*(1+VLOOKUP(I$6,Data!$A$3:$G$8,6,0))^(1/12)</f>
        <v>9226.690308994861</v>
      </c>
      <c r="J32" s="59">
        <f>I32*VLOOKUP(I$6,Data!$A$4:$G$8,3,FALSE)</f>
        <v>2768.0070926984581</v>
      </c>
      <c r="K32" s="37">
        <f>VLOOKUP(I$6,Data!$A$3:$G$8,5,FALSE)</f>
        <v>0.06</v>
      </c>
      <c r="L32" s="58">
        <f t="shared" si="5"/>
        <v>553.60141853969162</v>
      </c>
      <c r="M32" s="75">
        <f>L32*VLOOKUP(I$6,Data!$A$4:$G$8,2,FALSE)</f>
        <v>3321.6085112381497</v>
      </c>
      <c r="N32" s="75">
        <f t="shared" si="6"/>
        <v>-553.60141853969162</v>
      </c>
      <c r="O32" s="11">
        <f>O31*(1+VLOOKUP(O$6,Data!$A$3:$G$8,6,0))^(1/12)</f>
        <v>8472.9474146028533</v>
      </c>
      <c r="P32" s="59">
        <f>O32*VLOOKUP(O$6,Data!$A$4:$G$8,3,FALSE)</f>
        <v>8472.9474146028533</v>
      </c>
      <c r="Q32" s="37">
        <f>VLOOKUP(O$6,Data!$A$3:$G$8,5,FALSE)</f>
        <v>0.05</v>
      </c>
      <c r="R32" s="58">
        <f t="shared" si="7"/>
        <v>423.64737073014271</v>
      </c>
      <c r="S32" s="75">
        <f>R32*VLOOKUP(O$6,Data!$A$4:$G$8,2,FALSE)</f>
        <v>3177.3552804760702</v>
      </c>
      <c r="T32" s="75">
        <f t="shared" si="8"/>
        <v>5295.5921341267831</v>
      </c>
      <c r="U32" s="11">
        <f>U31*(1+VLOOKUP(U$6,Data!$A$3:$G$8,6,0))^(1/12)</f>
        <v>11032.901184765517</v>
      </c>
      <c r="V32" s="59">
        <f>U32*VLOOKUP(U$6,Data!$A$4:$G$8,3,FALSE)</f>
        <v>27582.252961913793</v>
      </c>
      <c r="W32" s="37">
        <f>VLOOKUP(U$6,Data!$A$3:$G$8,5,FALSE)</f>
        <v>7.0000000000000007E-2</v>
      </c>
      <c r="X32" s="58">
        <f t="shared" si="9"/>
        <v>772.30308293358621</v>
      </c>
      <c r="Y32" s="75">
        <f>X32*VLOOKUP(U$6,Data!$A$4:$G$8,2,FALSE)</f>
        <v>6564.5762049354826</v>
      </c>
      <c r="Z32" s="82">
        <f t="shared" si="10"/>
        <v>21017.676756978311</v>
      </c>
      <c r="AA32" s="11">
        <f>AA31*(1+VLOOKUP(AA$6,Data!$A$3:$G$8,6,0))^(1/12)</f>
        <v>10551.619880178234</v>
      </c>
      <c r="AB32" s="59">
        <f>AA32*VLOOKUP(AA$6,Data!$A$4:$G$8,3,FALSE)</f>
        <v>29016.954670490144</v>
      </c>
      <c r="AC32" s="37">
        <f>VLOOKUP(AA$6,Data!$A$3:$G$8,5,FALSE)</f>
        <v>0.08</v>
      </c>
      <c r="AD32" s="58">
        <f t="shared" si="11"/>
        <v>844.1295904142587</v>
      </c>
      <c r="AE32" s="75">
        <f>AD32*VLOOKUP(AA$6,Data!$A$4:$G$8,2,FALSE)</f>
        <v>8441.2959041425875</v>
      </c>
      <c r="AF32" s="82">
        <f t="shared" si="12"/>
        <v>20575.658766347558</v>
      </c>
      <c r="AG32" s="61">
        <f t="shared" si="13"/>
        <v>47044.584172219314</v>
      </c>
      <c r="AH32" s="60">
        <f t="shared" si="0"/>
        <v>35000</v>
      </c>
      <c r="AI32" s="60">
        <f t="shared" si="14"/>
        <v>12044.584172219314</v>
      </c>
      <c r="AJ32" s="62">
        <f t="shared" si="1"/>
        <v>1238110.6807535153</v>
      </c>
    </row>
    <row r="33" spans="1:36" x14ac:dyDescent="0.25">
      <c r="A33" s="2">
        <v>26</v>
      </c>
      <c r="B33" s="36">
        <f t="shared" si="2"/>
        <v>3</v>
      </c>
      <c r="C33" s="11">
        <f>C32*(1+VLOOKUP(C$6,Data!$A$3:$G$8,6,0))^(1/12)</f>
        <v>4736.1955363149464</v>
      </c>
      <c r="D33" s="59">
        <f>C33*VLOOKUP(C$6,Data!$A$4:$G$8,3,FALSE)</f>
        <v>2368.0977681574732</v>
      </c>
      <c r="E33" s="37">
        <f>VLOOKUP(C$6,Data!$A$3:$G$8,5,FALSE)</f>
        <v>7.0000000000000007E-2</v>
      </c>
      <c r="F33" s="58">
        <f t="shared" si="3"/>
        <v>331.53368754204627</v>
      </c>
      <c r="G33" s="75">
        <f>F33*VLOOKUP(C$6,Data!$A$4:$G$8,2,FALSE)</f>
        <v>1657.6684377102313</v>
      </c>
      <c r="H33" s="75">
        <f t="shared" si="4"/>
        <v>710.42933044724191</v>
      </c>
      <c r="I33" s="11">
        <f>I32*(1+VLOOKUP(I$6,Data!$A$3:$G$8,6,0))^(1/12)</f>
        <v>9234.34420027544</v>
      </c>
      <c r="J33" s="59">
        <f>I33*VLOOKUP(I$6,Data!$A$4:$G$8,3,FALSE)</f>
        <v>2770.3032600826318</v>
      </c>
      <c r="K33" s="37">
        <f>VLOOKUP(I$6,Data!$A$3:$G$8,5,FALSE)</f>
        <v>0.06</v>
      </c>
      <c r="L33" s="58">
        <f t="shared" si="5"/>
        <v>554.06065201652643</v>
      </c>
      <c r="M33" s="75">
        <f>L33*VLOOKUP(I$6,Data!$A$4:$G$8,2,FALSE)</f>
        <v>3324.3639120991584</v>
      </c>
      <c r="N33" s="75">
        <f t="shared" si="6"/>
        <v>-554.06065201652655</v>
      </c>
      <c r="O33" s="11">
        <f>O32*(1+VLOOKUP(O$6,Data!$A$3:$G$8,6,0))^(1/12)</f>
        <v>8507.4672511822882</v>
      </c>
      <c r="P33" s="59">
        <f>O33*VLOOKUP(O$6,Data!$A$4:$G$8,3,FALSE)</f>
        <v>8507.4672511822882</v>
      </c>
      <c r="Q33" s="37">
        <f>VLOOKUP(O$6,Data!$A$3:$G$8,5,FALSE)</f>
        <v>0.05</v>
      </c>
      <c r="R33" s="58">
        <f t="shared" si="7"/>
        <v>425.37336255911441</v>
      </c>
      <c r="S33" s="75">
        <f>R33*VLOOKUP(O$6,Data!$A$4:$G$8,2,FALSE)</f>
        <v>3190.3002191933583</v>
      </c>
      <c r="T33" s="75">
        <f t="shared" si="8"/>
        <v>5317.1670319889299</v>
      </c>
      <c r="U33" s="11">
        <f>U32*(1+VLOOKUP(U$6,Data!$A$3:$G$8,6,0))^(1/12)</f>
        <v>11051.122918068209</v>
      </c>
      <c r="V33" s="59">
        <f>U33*VLOOKUP(U$6,Data!$A$4:$G$8,3,FALSE)</f>
        <v>27627.807295170525</v>
      </c>
      <c r="W33" s="37">
        <f>VLOOKUP(U$6,Data!$A$3:$G$8,5,FALSE)</f>
        <v>7.0000000000000007E-2</v>
      </c>
      <c r="X33" s="58">
        <f t="shared" si="9"/>
        <v>773.57860426477475</v>
      </c>
      <c r="Y33" s="75">
        <f>X33*VLOOKUP(U$6,Data!$A$4:$G$8,2,FALSE)</f>
        <v>6575.4181362505851</v>
      </c>
      <c r="Z33" s="82">
        <f t="shared" si="10"/>
        <v>21052.389158919941</v>
      </c>
      <c r="AA33" s="11">
        <f>AA32*(1+VLOOKUP(AA$6,Data!$A$3:$G$8,6,0))^(1/12)</f>
        <v>10577.643021337557</v>
      </c>
      <c r="AB33" s="59">
        <f>AA33*VLOOKUP(AA$6,Data!$A$4:$G$8,3,FALSE)</f>
        <v>29088.518308678282</v>
      </c>
      <c r="AC33" s="37">
        <f>VLOOKUP(AA$6,Data!$A$3:$G$8,5,FALSE)</f>
        <v>0.08</v>
      </c>
      <c r="AD33" s="58">
        <f t="shared" si="11"/>
        <v>846.21144170700461</v>
      </c>
      <c r="AE33" s="75">
        <f>AD33*VLOOKUP(AA$6,Data!$A$4:$G$8,2,FALSE)</f>
        <v>8462.1144170700463</v>
      </c>
      <c r="AF33" s="82">
        <f t="shared" si="12"/>
        <v>20626.403891608235</v>
      </c>
      <c r="AG33" s="61">
        <f t="shared" si="13"/>
        <v>47152.328760947821</v>
      </c>
      <c r="AH33" s="60">
        <f t="shared" si="0"/>
        <v>35000</v>
      </c>
      <c r="AI33" s="60">
        <f t="shared" si="14"/>
        <v>12152.328760947821</v>
      </c>
      <c r="AJ33" s="62">
        <f t="shared" si="1"/>
        <v>1233550.3753895618</v>
      </c>
    </row>
    <row r="34" spans="1:36" x14ac:dyDescent="0.25">
      <c r="A34" s="2">
        <v>27</v>
      </c>
      <c r="B34" s="36">
        <f t="shared" si="2"/>
        <v>3</v>
      </c>
      <c r="C34" s="11">
        <f>C33*(1+VLOOKUP(C$6,Data!$A$3:$G$8,6,0))^(1/12)</f>
        <v>4744.017748304962</v>
      </c>
      <c r="D34" s="59">
        <f>C34*VLOOKUP(C$6,Data!$A$4:$G$8,3,FALSE)</f>
        <v>2372.008874152481</v>
      </c>
      <c r="E34" s="37">
        <f>VLOOKUP(C$6,Data!$A$3:$G$8,5,FALSE)</f>
        <v>7.0000000000000007E-2</v>
      </c>
      <c r="F34" s="58">
        <f t="shared" si="3"/>
        <v>332.08124238134735</v>
      </c>
      <c r="G34" s="75">
        <f>F34*VLOOKUP(C$6,Data!$A$4:$G$8,2,FALSE)</f>
        <v>1660.4062119067366</v>
      </c>
      <c r="H34" s="75">
        <f t="shared" si="4"/>
        <v>711.60266224574434</v>
      </c>
      <c r="I34" s="11">
        <f>I33*(1+VLOOKUP(I$6,Data!$A$3:$G$8,6,0))^(1/12)</f>
        <v>9242.0044407505593</v>
      </c>
      <c r="J34" s="59">
        <f>I34*VLOOKUP(I$6,Data!$A$4:$G$8,3,FALSE)</f>
        <v>2772.6013322251679</v>
      </c>
      <c r="K34" s="37">
        <f>VLOOKUP(I$6,Data!$A$3:$G$8,5,FALSE)</f>
        <v>0.06</v>
      </c>
      <c r="L34" s="58">
        <f t="shared" si="5"/>
        <v>554.52026644503349</v>
      </c>
      <c r="M34" s="75">
        <f>L34*VLOOKUP(I$6,Data!$A$4:$G$8,2,FALSE)</f>
        <v>3327.1215986702009</v>
      </c>
      <c r="N34" s="75">
        <f t="shared" si="6"/>
        <v>-554.52026644503303</v>
      </c>
      <c r="O34" s="11">
        <f>O33*(1+VLOOKUP(O$6,Data!$A$3:$G$8,6,0))^(1/12)</f>
        <v>8542.127725848939</v>
      </c>
      <c r="P34" s="59">
        <f>O34*VLOOKUP(O$6,Data!$A$4:$G$8,3,FALSE)</f>
        <v>8542.127725848939</v>
      </c>
      <c r="Q34" s="37">
        <f>VLOOKUP(O$6,Data!$A$3:$G$8,5,FALSE)</f>
        <v>0.05</v>
      </c>
      <c r="R34" s="58">
        <f t="shared" si="7"/>
        <v>427.10638629244698</v>
      </c>
      <c r="S34" s="75">
        <f>R34*VLOOKUP(O$6,Data!$A$4:$G$8,2,FALSE)</f>
        <v>3203.2978971933526</v>
      </c>
      <c r="T34" s="75">
        <f t="shared" si="8"/>
        <v>5338.8298286555864</v>
      </c>
      <c r="U34" s="11">
        <f>U33*(1+VLOOKUP(U$6,Data!$A$3:$G$8,6,0))^(1/12)</f>
        <v>11069.374746044912</v>
      </c>
      <c r="V34" s="59">
        <f>U34*VLOOKUP(U$6,Data!$A$4:$G$8,3,FALSE)</f>
        <v>27673.436865112279</v>
      </c>
      <c r="W34" s="37">
        <f>VLOOKUP(U$6,Data!$A$3:$G$8,5,FALSE)</f>
        <v>7.0000000000000007E-2</v>
      </c>
      <c r="X34" s="58">
        <f t="shared" si="9"/>
        <v>774.85623222314393</v>
      </c>
      <c r="Y34" s="75">
        <f>X34*VLOOKUP(U$6,Data!$A$4:$G$8,2,FALSE)</f>
        <v>6586.2779738967238</v>
      </c>
      <c r="Z34" s="82">
        <f t="shared" si="10"/>
        <v>21087.158891215557</v>
      </c>
      <c r="AA34" s="11">
        <f>AA33*(1+VLOOKUP(AA$6,Data!$A$3:$G$8,6,0))^(1/12)</f>
        <v>10603.730342583302</v>
      </c>
      <c r="AB34" s="59">
        <f>AA34*VLOOKUP(AA$6,Data!$A$4:$G$8,3,FALSE)</f>
        <v>29160.258442104081</v>
      </c>
      <c r="AC34" s="37">
        <f>VLOOKUP(AA$6,Data!$A$3:$G$8,5,FALSE)</f>
        <v>0.08</v>
      </c>
      <c r="AD34" s="58">
        <f t="shared" si="11"/>
        <v>848.29842740666413</v>
      </c>
      <c r="AE34" s="75">
        <f>AD34*VLOOKUP(AA$6,Data!$A$4:$G$8,2,FALSE)</f>
        <v>8482.9842740666409</v>
      </c>
      <c r="AF34" s="82">
        <f t="shared" si="12"/>
        <v>20677.274168037438</v>
      </c>
      <c r="AG34" s="61">
        <f t="shared" si="13"/>
        <v>47260.345283709292</v>
      </c>
      <c r="AH34" s="60">
        <f t="shared" si="0"/>
        <v>35000</v>
      </c>
      <c r="AI34" s="60">
        <f t="shared" si="14"/>
        <v>12260.345283709292</v>
      </c>
      <c r="AJ34" s="62">
        <f t="shared" si="1"/>
        <v>1228854.7587602285</v>
      </c>
    </row>
    <row r="35" spans="1:36" x14ac:dyDescent="0.25">
      <c r="A35" s="2">
        <v>28</v>
      </c>
      <c r="B35" s="36">
        <f t="shared" si="2"/>
        <v>3</v>
      </c>
      <c r="C35" s="11">
        <f>C34*(1+VLOOKUP(C$6,Data!$A$3:$G$8,6,0))^(1/12)</f>
        <v>4751.8528793140404</v>
      </c>
      <c r="D35" s="59">
        <f>C35*VLOOKUP(C$6,Data!$A$4:$G$8,3,FALSE)</f>
        <v>2375.9264396570202</v>
      </c>
      <c r="E35" s="37">
        <f>VLOOKUP(C$6,Data!$A$3:$G$8,5,FALSE)</f>
        <v>7.0000000000000007E-2</v>
      </c>
      <c r="F35" s="58">
        <f t="shared" si="3"/>
        <v>332.62970155198286</v>
      </c>
      <c r="G35" s="75">
        <f>F35*VLOOKUP(C$6,Data!$A$4:$G$8,2,FALSE)</f>
        <v>1663.1485077599143</v>
      </c>
      <c r="H35" s="75">
        <f t="shared" si="4"/>
        <v>712.77793189710587</v>
      </c>
      <c r="I35" s="11">
        <f>I34*(1+VLOOKUP(I$6,Data!$A$3:$G$8,6,0))^(1/12)</f>
        <v>9249.671035687119</v>
      </c>
      <c r="J35" s="59">
        <f>I35*VLOOKUP(I$6,Data!$A$4:$G$8,3,FALSE)</f>
        <v>2774.9013107061355</v>
      </c>
      <c r="K35" s="37">
        <f>VLOOKUP(I$6,Data!$A$3:$G$8,5,FALSE)</f>
        <v>0.06</v>
      </c>
      <c r="L35" s="58">
        <f t="shared" si="5"/>
        <v>554.98026214122717</v>
      </c>
      <c r="M35" s="75">
        <f>L35*VLOOKUP(I$6,Data!$A$4:$G$8,2,FALSE)</f>
        <v>3329.8815728473628</v>
      </c>
      <c r="N35" s="75">
        <f t="shared" si="6"/>
        <v>-554.98026214122729</v>
      </c>
      <c r="O35" s="11">
        <f>O34*(1+VLOOKUP(O$6,Data!$A$3:$G$8,6,0))^(1/12)</f>
        <v>8576.929411579782</v>
      </c>
      <c r="P35" s="59">
        <f>O35*VLOOKUP(O$6,Data!$A$4:$G$8,3,FALSE)</f>
        <v>8576.929411579782</v>
      </c>
      <c r="Q35" s="37">
        <f>VLOOKUP(O$6,Data!$A$3:$G$8,5,FALSE)</f>
        <v>0.05</v>
      </c>
      <c r="R35" s="58">
        <f t="shared" si="7"/>
        <v>428.84647057898911</v>
      </c>
      <c r="S35" s="75">
        <f>R35*VLOOKUP(O$6,Data!$A$4:$G$8,2,FALSE)</f>
        <v>3216.3485293424183</v>
      </c>
      <c r="T35" s="75">
        <f t="shared" si="8"/>
        <v>5360.5808822373638</v>
      </c>
      <c r="U35" s="11">
        <f>U34*(1+VLOOKUP(U$6,Data!$A$3:$G$8,6,0))^(1/12)</f>
        <v>11087.656718399428</v>
      </c>
      <c r="V35" s="59">
        <f>U35*VLOOKUP(U$6,Data!$A$4:$G$8,3,FALSE)</f>
        <v>27719.14179599857</v>
      </c>
      <c r="W35" s="37">
        <f>VLOOKUP(U$6,Data!$A$3:$G$8,5,FALSE)</f>
        <v>7.0000000000000007E-2</v>
      </c>
      <c r="X35" s="58">
        <f t="shared" si="9"/>
        <v>776.13597028796005</v>
      </c>
      <c r="Y35" s="75">
        <f>X35*VLOOKUP(U$6,Data!$A$4:$G$8,2,FALSE)</f>
        <v>6597.1557474476604</v>
      </c>
      <c r="Z35" s="82">
        <f t="shared" si="10"/>
        <v>21121.986048550909</v>
      </c>
      <c r="AA35" s="11">
        <f>AA34*(1+VLOOKUP(AA$6,Data!$A$3:$G$8,6,0))^(1/12)</f>
        <v>10629.882002200875</v>
      </c>
      <c r="AB35" s="59">
        <f>AA35*VLOOKUP(AA$6,Data!$A$4:$G$8,3,FALSE)</f>
        <v>29232.175506052405</v>
      </c>
      <c r="AC35" s="37">
        <f>VLOOKUP(AA$6,Data!$A$3:$G$8,5,FALSE)</f>
        <v>0.08</v>
      </c>
      <c r="AD35" s="58">
        <f t="shared" si="11"/>
        <v>850.39056017607004</v>
      </c>
      <c r="AE35" s="75">
        <f>AD35*VLOOKUP(AA$6,Data!$A$4:$G$8,2,FALSE)</f>
        <v>8503.9056017606999</v>
      </c>
      <c r="AF35" s="82">
        <f t="shared" si="12"/>
        <v>20728.269904291705</v>
      </c>
      <c r="AG35" s="61">
        <f t="shared" si="13"/>
        <v>47368.634504835856</v>
      </c>
      <c r="AH35" s="60">
        <f t="shared" si="0"/>
        <v>35000</v>
      </c>
      <c r="AI35" s="60">
        <f t="shared" si="14"/>
        <v>12368.634504835856</v>
      </c>
      <c r="AJ35" s="62">
        <f t="shared" si="1"/>
        <v>1224022.7409858403</v>
      </c>
    </row>
    <row r="36" spans="1:36" x14ac:dyDescent="0.25">
      <c r="A36" s="2">
        <v>29</v>
      </c>
      <c r="B36" s="36">
        <f t="shared" si="2"/>
        <v>3</v>
      </c>
      <c r="C36" s="11">
        <f>C35*(1+VLOOKUP(C$6,Data!$A$3:$G$8,6,0))^(1/12)</f>
        <v>4759.7009506789909</v>
      </c>
      <c r="D36" s="59">
        <f>C36*VLOOKUP(C$6,Data!$A$4:$G$8,3,FALSE)</f>
        <v>2379.8504753394955</v>
      </c>
      <c r="E36" s="37">
        <f>VLOOKUP(C$6,Data!$A$3:$G$8,5,FALSE)</f>
        <v>7.0000000000000007E-2</v>
      </c>
      <c r="F36" s="58">
        <f t="shared" si="3"/>
        <v>333.17906654752937</v>
      </c>
      <c r="G36" s="75">
        <f>F36*VLOOKUP(C$6,Data!$A$4:$G$8,2,FALSE)</f>
        <v>1665.8953327376469</v>
      </c>
      <c r="H36" s="75">
        <f t="shared" si="4"/>
        <v>713.95514260184859</v>
      </c>
      <c r="I36" s="11">
        <f>I35*(1+VLOOKUP(I$6,Data!$A$3:$G$8,6,0))^(1/12)</f>
        <v>9257.3439903563849</v>
      </c>
      <c r="J36" s="59">
        <f>I36*VLOOKUP(I$6,Data!$A$4:$G$8,3,FALSE)</f>
        <v>2777.2031971069155</v>
      </c>
      <c r="K36" s="37">
        <f>VLOOKUP(I$6,Data!$A$3:$G$8,5,FALSE)</f>
        <v>0.06</v>
      </c>
      <c r="L36" s="58">
        <f t="shared" si="5"/>
        <v>555.44063942138303</v>
      </c>
      <c r="M36" s="75">
        <f>L36*VLOOKUP(I$6,Data!$A$4:$G$8,2,FALSE)</f>
        <v>3332.6438365282984</v>
      </c>
      <c r="N36" s="75">
        <f t="shared" si="6"/>
        <v>-555.44063942138291</v>
      </c>
      <c r="O36" s="11">
        <f>O35*(1+VLOOKUP(O$6,Data!$A$3:$G$8,6,0))^(1/12)</f>
        <v>8611.8728836861719</v>
      </c>
      <c r="P36" s="59">
        <f>O36*VLOOKUP(O$6,Data!$A$4:$G$8,3,FALSE)</f>
        <v>8611.8728836861719</v>
      </c>
      <c r="Q36" s="37">
        <f>VLOOKUP(O$6,Data!$A$3:$G$8,5,FALSE)</f>
        <v>0.05</v>
      </c>
      <c r="R36" s="58">
        <f t="shared" si="7"/>
        <v>430.59364418430863</v>
      </c>
      <c r="S36" s="75">
        <f>R36*VLOOKUP(O$6,Data!$A$4:$G$8,2,FALSE)</f>
        <v>3229.4523313823147</v>
      </c>
      <c r="T36" s="75">
        <f t="shared" si="8"/>
        <v>5382.4205523038572</v>
      </c>
      <c r="U36" s="11">
        <f>U35*(1+VLOOKUP(U$6,Data!$A$3:$G$8,6,0))^(1/12)</f>
        <v>11105.968884917647</v>
      </c>
      <c r="V36" s="59">
        <f>U36*VLOOKUP(U$6,Data!$A$4:$G$8,3,FALSE)</f>
        <v>27764.922212294117</v>
      </c>
      <c r="W36" s="37">
        <f>VLOOKUP(U$6,Data!$A$3:$G$8,5,FALSE)</f>
        <v>7.0000000000000007E-2</v>
      </c>
      <c r="X36" s="58">
        <f t="shared" si="9"/>
        <v>777.41782194423536</v>
      </c>
      <c r="Y36" s="75">
        <f>X36*VLOOKUP(U$6,Data!$A$4:$G$8,2,FALSE)</f>
        <v>6608.0514865260002</v>
      </c>
      <c r="Z36" s="82">
        <f t="shared" si="10"/>
        <v>21156.870725768116</v>
      </c>
      <c r="AA36" s="11">
        <f>AA35*(1+VLOOKUP(AA$6,Data!$A$3:$G$8,6,0))^(1/12)</f>
        <v>10656.098158866058</v>
      </c>
      <c r="AB36" s="59">
        <f>AA36*VLOOKUP(AA$6,Data!$A$4:$G$8,3,FALSE)</f>
        <v>29304.269936881661</v>
      </c>
      <c r="AC36" s="37">
        <f>VLOOKUP(AA$6,Data!$A$3:$G$8,5,FALSE)</f>
        <v>0.08</v>
      </c>
      <c r="AD36" s="58">
        <f t="shared" si="11"/>
        <v>852.48785270928465</v>
      </c>
      <c r="AE36" s="75">
        <f>AD36*VLOOKUP(AA$6,Data!$A$4:$G$8,2,FALSE)</f>
        <v>8524.8785270928456</v>
      </c>
      <c r="AF36" s="82">
        <f t="shared" si="12"/>
        <v>20779.391409788816</v>
      </c>
      <c r="AG36" s="61">
        <f t="shared" si="13"/>
        <v>47477.197191041254</v>
      </c>
      <c r="AH36" s="60">
        <f t="shared" si="0"/>
        <v>35000</v>
      </c>
      <c r="AI36" s="60">
        <f t="shared" si="14"/>
        <v>12477.197191041254</v>
      </c>
      <c r="AJ36" s="62">
        <f t="shared" si="1"/>
        <v>1219053.2248341555</v>
      </c>
    </row>
    <row r="37" spans="1:36" x14ac:dyDescent="0.25">
      <c r="A37" s="2">
        <v>30</v>
      </c>
      <c r="B37" s="36">
        <f t="shared" si="2"/>
        <v>3</v>
      </c>
      <c r="C37" s="11">
        <f>C36*(1+VLOOKUP(C$6,Data!$A$3:$G$8,6,0))^(1/12)</f>
        <v>4767.5619837718641</v>
      </c>
      <c r="D37" s="59">
        <f>C37*VLOOKUP(C$6,Data!$A$4:$G$8,3,FALSE)</f>
        <v>2383.7809918859321</v>
      </c>
      <c r="E37" s="37">
        <f>VLOOKUP(C$6,Data!$A$3:$G$8,5,FALSE)</f>
        <v>7.0000000000000007E-2</v>
      </c>
      <c r="F37" s="58">
        <f t="shared" si="3"/>
        <v>333.72933886403052</v>
      </c>
      <c r="G37" s="75">
        <f>F37*VLOOKUP(C$6,Data!$A$4:$G$8,2,FALSE)</f>
        <v>1668.6466943201526</v>
      </c>
      <c r="H37" s="75">
        <f t="shared" si="4"/>
        <v>715.13429756577943</v>
      </c>
      <c r="I37" s="11">
        <f>I36*(1+VLOOKUP(I$6,Data!$A$3:$G$8,6,0))^(1/12)</f>
        <v>9265.0233100339992</v>
      </c>
      <c r="J37" s="59">
        <f>I37*VLOOKUP(I$6,Data!$A$4:$G$8,3,FALSE)</f>
        <v>2779.5069930101995</v>
      </c>
      <c r="K37" s="37">
        <f>VLOOKUP(I$6,Data!$A$3:$G$8,5,FALSE)</f>
        <v>0.06</v>
      </c>
      <c r="L37" s="58">
        <f t="shared" si="5"/>
        <v>555.90139860203988</v>
      </c>
      <c r="M37" s="75">
        <f>L37*VLOOKUP(I$6,Data!$A$4:$G$8,2,FALSE)</f>
        <v>3335.408391612239</v>
      </c>
      <c r="N37" s="75">
        <f t="shared" si="6"/>
        <v>-555.90139860203954</v>
      </c>
      <c r="O37" s="11">
        <f>O36*(1+VLOOKUP(O$6,Data!$A$3:$G$8,6,0))^(1/12)</f>
        <v>8646.9587198233548</v>
      </c>
      <c r="P37" s="59">
        <f>O37*VLOOKUP(O$6,Data!$A$4:$G$8,3,FALSE)</f>
        <v>8646.9587198233548</v>
      </c>
      <c r="Q37" s="37">
        <f>VLOOKUP(O$6,Data!$A$3:$G$8,5,FALSE)</f>
        <v>0.05</v>
      </c>
      <c r="R37" s="58">
        <f t="shared" si="7"/>
        <v>432.34793599116779</v>
      </c>
      <c r="S37" s="75">
        <f>R37*VLOOKUP(O$6,Data!$A$4:$G$8,2,FALSE)</f>
        <v>3242.6095199337583</v>
      </c>
      <c r="T37" s="75">
        <f t="shared" si="8"/>
        <v>5404.349199889597</v>
      </c>
      <c r="U37" s="11">
        <f>U36*(1+VLOOKUP(U$6,Data!$A$3:$G$8,6,0))^(1/12)</f>
        <v>11124.311295467685</v>
      </c>
      <c r="V37" s="59">
        <f>U37*VLOOKUP(U$6,Data!$A$4:$G$8,3,FALSE)</f>
        <v>27810.778238669212</v>
      </c>
      <c r="W37" s="37">
        <f>VLOOKUP(U$6,Data!$A$3:$G$8,5,FALSE)</f>
        <v>7.0000000000000007E-2</v>
      </c>
      <c r="X37" s="58">
        <f t="shared" si="9"/>
        <v>778.70179068273808</v>
      </c>
      <c r="Y37" s="75">
        <f>X37*VLOOKUP(U$6,Data!$A$4:$G$8,2,FALSE)</f>
        <v>6618.965220803274</v>
      </c>
      <c r="Z37" s="82">
        <f t="shared" si="10"/>
        <v>21191.813017865938</v>
      </c>
      <c r="AA37" s="11">
        <f>AA36*(1+VLOOKUP(AA$6,Data!$A$3:$G$8,6,0))^(1/12)</f>
        <v>10682.378971645971</v>
      </c>
      <c r="AB37" s="59">
        <f>AA37*VLOOKUP(AA$6,Data!$A$4:$G$8,3,FALSE)</f>
        <v>29376.54217202642</v>
      </c>
      <c r="AC37" s="37">
        <f>VLOOKUP(AA$6,Data!$A$3:$G$8,5,FALSE)</f>
        <v>0.08</v>
      </c>
      <c r="AD37" s="58">
        <f t="shared" si="11"/>
        <v>854.59031773167771</v>
      </c>
      <c r="AE37" s="75">
        <f>AD37*VLOOKUP(AA$6,Data!$A$4:$G$8,2,FALSE)</f>
        <v>8545.9031773167771</v>
      </c>
      <c r="AF37" s="82">
        <f t="shared" si="12"/>
        <v>20830.638994709643</v>
      </c>
      <c r="AG37" s="61">
        <f t="shared" si="13"/>
        <v>47586.034111428919</v>
      </c>
      <c r="AH37" s="60">
        <f t="shared" si="0"/>
        <v>35000</v>
      </c>
      <c r="AI37" s="60">
        <f t="shared" si="14"/>
        <v>12586.034111428919</v>
      </c>
      <c r="AJ37" s="62">
        <f t="shared" si="1"/>
        <v>1213945.1056735385</v>
      </c>
    </row>
    <row r="38" spans="1:36" x14ac:dyDescent="0.25">
      <c r="A38" s="2">
        <v>31</v>
      </c>
      <c r="B38" s="36">
        <f t="shared" si="2"/>
        <v>3</v>
      </c>
      <c r="C38" s="11">
        <f>C37*(1+VLOOKUP(C$6,Data!$A$3:$G$8,6,0))^(1/12)</f>
        <v>4775.436000000007</v>
      </c>
      <c r="D38" s="59">
        <f>C38*VLOOKUP(C$6,Data!$A$4:$G$8,3,FALSE)</f>
        <v>2387.7180000000035</v>
      </c>
      <c r="E38" s="37">
        <f>VLOOKUP(C$6,Data!$A$3:$G$8,5,FALSE)</f>
        <v>7.0000000000000007E-2</v>
      </c>
      <c r="F38" s="58">
        <f t="shared" si="3"/>
        <v>334.28052000000054</v>
      </c>
      <c r="G38" s="75">
        <f>F38*VLOOKUP(C$6,Data!$A$4:$G$8,2,FALSE)</f>
        <v>1671.4026000000026</v>
      </c>
      <c r="H38" s="75">
        <f t="shared" si="4"/>
        <v>716.31540000000086</v>
      </c>
      <c r="I38" s="11">
        <f>I37*(1+VLOOKUP(I$6,Data!$A$3:$G$8,6,0))^(1/12)</f>
        <v>9272.7089999999789</v>
      </c>
      <c r="J38" s="59">
        <f>I38*VLOOKUP(I$6,Data!$A$4:$G$8,3,FALSE)</f>
        <v>2781.8126999999936</v>
      </c>
      <c r="K38" s="37">
        <f>VLOOKUP(I$6,Data!$A$3:$G$8,5,FALSE)</f>
        <v>0.06</v>
      </c>
      <c r="L38" s="58">
        <f t="shared" si="5"/>
        <v>556.36253999999872</v>
      </c>
      <c r="M38" s="75">
        <f>L38*VLOOKUP(I$6,Data!$A$4:$G$8,2,FALSE)</f>
        <v>3338.1752399999923</v>
      </c>
      <c r="N38" s="75">
        <f t="shared" si="6"/>
        <v>-556.36253999999872</v>
      </c>
      <c r="O38" s="11">
        <f>O37*(1+VLOOKUP(O$6,Data!$A$3:$G$8,6,0))^(1/12)</f>
        <v>8682.1875000000127</v>
      </c>
      <c r="P38" s="59">
        <f>O38*VLOOKUP(O$6,Data!$A$4:$G$8,3,FALSE)</f>
        <v>8682.1875000000127</v>
      </c>
      <c r="Q38" s="37">
        <f>VLOOKUP(O$6,Data!$A$3:$G$8,5,FALSE)</f>
        <v>0.05</v>
      </c>
      <c r="R38" s="58">
        <f t="shared" si="7"/>
        <v>434.10937500000068</v>
      </c>
      <c r="S38" s="75">
        <f>R38*VLOOKUP(O$6,Data!$A$4:$G$8,2,FALSE)</f>
        <v>3255.820312500005</v>
      </c>
      <c r="T38" s="75">
        <f t="shared" si="8"/>
        <v>5426.3671875000073</v>
      </c>
      <c r="U38" s="11">
        <f>U37*(1+VLOOKUP(U$6,Data!$A$3:$G$8,6,0))^(1/12)</f>
        <v>11142.684000000019</v>
      </c>
      <c r="V38" s="59">
        <f>U38*VLOOKUP(U$6,Data!$A$4:$G$8,3,FALSE)</f>
        <v>27856.71000000005</v>
      </c>
      <c r="W38" s="37">
        <f>VLOOKUP(U$6,Data!$A$3:$G$8,5,FALSE)</f>
        <v>7.0000000000000007E-2</v>
      </c>
      <c r="X38" s="58">
        <f t="shared" si="9"/>
        <v>779.98788000000138</v>
      </c>
      <c r="Y38" s="75">
        <f>X38*VLOOKUP(U$6,Data!$A$4:$G$8,2,FALSE)</f>
        <v>6629.8969800000114</v>
      </c>
      <c r="Z38" s="82">
        <f t="shared" si="10"/>
        <v>21226.813020000038</v>
      </c>
      <c r="AA38" s="11">
        <f>AA37*(1+VLOOKUP(AA$6,Data!$A$3:$G$8,6,0))^(1/12)</f>
        <v>10708.724600000034</v>
      </c>
      <c r="AB38" s="59">
        <f>AA38*VLOOKUP(AA$6,Data!$A$4:$G$8,3,FALSE)</f>
        <v>29448.992650000095</v>
      </c>
      <c r="AC38" s="37">
        <f>VLOOKUP(AA$6,Data!$A$3:$G$8,5,FALSE)</f>
        <v>0.08</v>
      </c>
      <c r="AD38" s="58">
        <f t="shared" si="11"/>
        <v>856.69796800000279</v>
      </c>
      <c r="AE38" s="75">
        <f>AD38*VLOOKUP(AA$6,Data!$A$4:$G$8,2,FALSE)</f>
        <v>8566.9796800000277</v>
      </c>
      <c r="AF38" s="82">
        <f t="shared" si="12"/>
        <v>20882.012970000069</v>
      </c>
      <c r="AG38" s="61">
        <f t="shared" si="13"/>
        <v>47695.146037500119</v>
      </c>
      <c r="AH38" s="60">
        <f t="shared" si="0"/>
        <v>35000</v>
      </c>
      <c r="AI38" s="60">
        <f t="shared" si="14"/>
        <v>12695.146037500119</v>
      </c>
      <c r="AJ38" s="62">
        <f t="shared" si="1"/>
        <v>1208697.2714258414</v>
      </c>
    </row>
    <row r="39" spans="1:36" x14ac:dyDescent="0.25">
      <c r="A39" s="2">
        <v>32</v>
      </c>
      <c r="B39" s="36">
        <f t="shared" si="2"/>
        <v>3</v>
      </c>
      <c r="C39" s="11">
        <f>C38*(1+VLOOKUP(C$6,Data!$A$3:$G$8,6,0))^(1/12)</f>
        <v>4783.3230208061241</v>
      </c>
      <c r="D39" s="59">
        <f>C39*VLOOKUP(C$6,Data!$A$4:$G$8,3,FALSE)</f>
        <v>2391.661510403062</v>
      </c>
      <c r="E39" s="37">
        <f>VLOOKUP(C$6,Data!$A$3:$G$8,5,FALSE)</f>
        <v>7.0000000000000007E-2</v>
      </c>
      <c r="F39" s="58">
        <f t="shared" si="3"/>
        <v>334.83261145642871</v>
      </c>
      <c r="G39" s="75">
        <f>F39*VLOOKUP(C$6,Data!$A$4:$G$8,2,FALSE)</f>
        <v>1674.1630572821437</v>
      </c>
      <c r="H39" s="75">
        <f t="shared" si="4"/>
        <v>717.49845312091838</v>
      </c>
      <c r="I39" s="11">
        <f>I38*(1+VLOOKUP(I$6,Data!$A$3:$G$8,6,0))^(1/12)</f>
        <v>9280.4010655387192</v>
      </c>
      <c r="J39" s="59">
        <f>I39*VLOOKUP(I$6,Data!$A$4:$G$8,3,FALSE)</f>
        <v>2784.1203196616157</v>
      </c>
      <c r="K39" s="37">
        <f>VLOOKUP(I$6,Data!$A$3:$G$8,5,FALSE)</f>
        <v>0.06</v>
      </c>
      <c r="L39" s="58">
        <f t="shared" si="5"/>
        <v>556.82406393232316</v>
      </c>
      <c r="M39" s="75">
        <f>L39*VLOOKUP(I$6,Data!$A$4:$G$8,2,FALSE)</f>
        <v>3340.9443835939392</v>
      </c>
      <c r="N39" s="75">
        <f t="shared" si="6"/>
        <v>-556.8240639323235</v>
      </c>
      <c r="O39" s="11">
        <f>O38*(1+VLOOKUP(O$6,Data!$A$3:$G$8,6,0))^(1/12)</f>
        <v>8717.5598065878567</v>
      </c>
      <c r="P39" s="59">
        <f>O39*VLOOKUP(O$6,Data!$A$4:$G$8,3,FALSE)</f>
        <v>8717.5598065878567</v>
      </c>
      <c r="Q39" s="37">
        <f>VLOOKUP(O$6,Data!$A$3:$G$8,5,FALSE)</f>
        <v>0.05</v>
      </c>
      <c r="R39" s="58">
        <f t="shared" si="7"/>
        <v>435.87799032939284</v>
      </c>
      <c r="S39" s="75">
        <f>R39*VLOOKUP(O$6,Data!$A$4:$G$8,2,FALSE)</f>
        <v>3269.0849274704465</v>
      </c>
      <c r="T39" s="75">
        <f t="shared" si="8"/>
        <v>5448.4748791174097</v>
      </c>
      <c r="U39" s="11">
        <f>U38*(1+VLOOKUP(U$6,Data!$A$3:$G$8,6,0))^(1/12)</f>
        <v>11161.087048547624</v>
      </c>
      <c r="V39" s="59">
        <f>U39*VLOOKUP(U$6,Data!$A$4:$G$8,3,FALSE)</f>
        <v>27902.717621369062</v>
      </c>
      <c r="W39" s="37">
        <f>VLOOKUP(U$6,Data!$A$3:$G$8,5,FALSE)</f>
        <v>7.0000000000000007E-2</v>
      </c>
      <c r="X39" s="58">
        <f t="shared" si="9"/>
        <v>781.27609339833373</v>
      </c>
      <c r="Y39" s="75">
        <f>X39*VLOOKUP(U$6,Data!$A$4:$G$8,2,FALSE)</f>
        <v>6640.8467938858366</v>
      </c>
      <c r="Z39" s="82">
        <f t="shared" si="10"/>
        <v>21261.870827483224</v>
      </c>
      <c r="AA39" s="11">
        <f>AA38*(1+VLOOKUP(AA$6,Data!$A$3:$G$8,6,0))^(1/12)</f>
        <v>10735.135203780939</v>
      </c>
      <c r="AB39" s="59">
        <f>AA39*VLOOKUP(AA$6,Data!$A$4:$G$8,3,FALSE)</f>
        <v>29521.621810397584</v>
      </c>
      <c r="AC39" s="37">
        <f>VLOOKUP(AA$6,Data!$A$3:$G$8,5,FALSE)</f>
        <v>0.08</v>
      </c>
      <c r="AD39" s="58">
        <f t="shared" si="11"/>
        <v>858.81081630247513</v>
      </c>
      <c r="AE39" s="75">
        <f>AD39*VLOOKUP(AA$6,Data!$A$4:$G$8,2,FALSE)</f>
        <v>8588.1081630247518</v>
      </c>
      <c r="AF39" s="82">
        <f t="shared" si="12"/>
        <v>20933.513647372834</v>
      </c>
      <c r="AG39" s="61">
        <f t="shared" si="13"/>
        <v>47804.533743162065</v>
      </c>
      <c r="AH39" s="60">
        <f t="shared" si="0"/>
        <v>35000</v>
      </c>
      <c r="AI39" s="60">
        <f t="shared" si="14"/>
        <v>12804.533743162065</v>
      </c>
      <c r="AJ39" s="62">
        <f t="shared" si="1"/>
        <v>1203308.6025189927</v>
      </c>
    </row>
    <row r="40" spans="1:36" x14ac:dyDescent="0.25">
      <c r="A40" s="2">
        <v>33</v>
      </c>
      <c r="B40" s="36">
        <f t="shared" si="2"/>
        <v>3</v>
      </c>
      <c r="C40" s="11">
        <f>C39*(1+VLOOKUP(C$6,Data!$A$3:$G$8,6,0))^(1/12)</f>
        <v>4791.2230676683321</v>
      </c>
      <c r="D40" s="59">
        <f>C40*VLOOKUP(C$6,Data!$A$4:$G$8,3,FALSE)</f>
        <v>2395.611533834166</v>
      </c>
      <c r="E40" s="37">
        <f>VLOOKUP(C$6,Data!$A$3:$G$8,5,FALSE)</f>
        <v>7.0000000000000007E-2</v>
      </c>
      <c r="F40" s="58">
        <f t="shared" si="3"/>
        <v>335.38561473678328</v>
      </c>
      <c r="G40" s="75">
        <f>F40*VLOOKUP(C$6,Data!$A$4:$G$8,2,FALSE)</f>
        <v>1676.9280736839164</v>
      </c>
      <c r="H40" s="75">
        <f t="shared" si="4"/>
        <v>718.68346015024963</v>
      </c>
      <c r="I40" s="11">
        <f>I39*(1+VLOOKUP(I$6,Data!$A$3:$G$8,6,0))^(1/12)</f>
        <v>9288.0995119390027</v>
      </c>
      <c r="J40" s="59">
        <f>I40*VLOOKUP(I$6,Data!$A$4:$G$8,3,FALSE)</f>
        <v>2786.4298535817006</v>
      </c>
      <c r="K40" s="37">
        <f>VLOOKUP(I$6,Data!$A$3:$G$8,5,FALSE)</f>
        <v>0.06</v>
      </c>
      <c r="L40" s="58">
        <f t="shared" si="5"/>
        <v>557.2859707163401</v>
      </c>
      <c r="M40" s="75">
        <f>L40*VLOOKUP(I$6,Data!$A$4:$G$8,2,FALSE)</f>
        <v>3343.7158242980404</v>
      </c>
      <c r="N40" s="75">
        <f t="shared" si="6"/>
        <v>-557.28597071633976</v>
      </c>
      <c r="O40" s="11">
        <f>O39*(1+VLOOKUP(O$6,Data!$A$3:$G$8,6,0))^(1/12)</f>
        <v>8753.0762243312529</v>
      </c>
      <c r="P40" s="59">
        <f>O40*VLOOKUP(O$6,Data!$A$4:$G$8,3,FALSE)</f>
        <v>8753.0762243312529</v>
      </c>
      <c r="Q40" s="37">
        <f>VLOOKUP(O$6,Data!$A$3:$G$8,5,FALSE)</f>
        <v>0.05</v>
      </c>
      <c r="R40" s="58">
        <f t="shared" si="7"/>
        <v>437.65381121656264</v>
      </c>
      <c r="S40" s="75">
        <f>R40*VLOOKUP(O$6,Data!$A$4:$G$8,2,FALSE)</f>
        <v>3282.4035841242198</v>
      </c>
      <c r="T40" s="75">
        <f t="shared" si="8"/>
        <v>5470.6726402070326</v>
      </c>
      <c r="U40" s="11">
        <f>U39*(1+VLOOKUP(U$6,Data!$A$3:$G$8,6,0))^(1/12)</f>
        <v>11179.520491226109</v>
      </c>
      <c r="V40" s="59">
        <f>U40*VLOOKUP(U$6,Data!$A$4:$G$8,3,FALSE)</f>
        <v>27948.801228065273</v>
      </c>
      <c r="W40" s="37">
        <f>VLOOKUP(U$6,Data!$A$3:$G$8,5,FALSE)</f>
        <v>7.0000000000000007E-2</v>
      </c>
      <c r="X40" s="58">
        <f t="shared" si="9"/>
        <v>782.56643438582773</v>
      </c>
      <c r="Y40" s="75">
        <f>X40*VLOOKUP(U$6,Data!$A$4:$G$8,2,FALSE)</f>
        <v>6651.8146922795358</v>
      </c>
      <c r="Z40" s="82">
        <f t="shared" si="10"/>
        <v>21296.986535785738</v>
      </c>
      <c r="AA40" s="11">
        <f>AA39*(1+VLOOKUP(AA$6,Data!$A$3:$G$8,6,0))^(1/12)</f>
        <v>10761.610943235617</v>
      </c>
      <c r="AB40" s="59">
        <f>AA40*VLOOKUP(AA$6,Data!$A$4:$G$8,3,FALSE)</f>
        <v>29594.430093897947</v>
      </c>
      <c r="AC40" s="37">
        <f>VLOOKUP(AA$6,Data!$A$3:$G$8,5,FALSE)</f>
        <v>0.08</v>
      </c>
      <c r="AD40" s="58">
        <f t="shared" si="11"/>
        <v>860.92887545884935</v>
      </c>
      <c r="AE40" s="75">
        <f>AD40*VLOOKUP(AA$6,Data!$A$4:$G$8,2,FALSE)</f>
        <v>8609.2887545884932</v>
      </c>
      <c r="AF40" s="82">
        <f t="shared" si="12"/>
        <v>20985.141339309455</v>
      </c>
      <c r="AG40" s="61">
        <f t="shared" si="13"/>
        <v>47914.198004736136</v>
      </c>
      <c r="AH40" s="60">
        <f t="shared" ref="AH40:AH71" si="15">fixed_exp</f>
        <v>35000</v>
      </c>
      <c r="AI40" s="60">
        <f t="shared" si="14"/>
        <v>12914.198004736136</v>
      </c>
      <c r="AJ40" s="62">
        <f t="shared" ref="AJ40:AJ71" si="16">(AI40+AJ41)/(1+disc_rate)^(1/12)</f>
        <v>1197777.9718392915</v>
      </c>
    </row>
    <row r="41" spans="1:36" x14ac:dyDescent="0.25">
      <c r="A41" s="2">
        <v>34</v>
      </c>
      <c r="B41" s="36">
        <f t="shared" si="2"/>
        <v>3</v>
      </c>
      <c r="C41" s="11">
        <f>C40*(1+VLOOKUP(C$6,Data!$A$3:$G$8,6,0))^(1/12)</f>
        <v>4799.1361621002216</v>
      </c>
      <c r="D41" s="59">
        <f>C41*VLOOKUP(C$6,Data!$A$4:$G$8,3,FALSE)</f>
        <v>2399.5680810501108</v>
      </c>
      <c r="E41" s="37">
        <f>VLOOKUP(C$6,Data!$A$3:$G$8,5,FALSE)</f>
        <v>7.0000000000000007E-2</v>
      </c>
      <c r="F41" s="58">
        <f t="shared" si="3"/>
        <v>335.93953134701553</v>
      </c>
      <c r="G41" s="75">
        <f>F41*VLOOKUP(C$6,Data!$A$4:$G$8,2,FALSE)</f>
        <v>1679.6976567350775</v>
      </c>
      <c r="H41" s="75">
        <f t="shared" si="4"/>
        <v>719.87042431503323</v>
      </c>
      <c r="I41" s="11">
        <f>I40*(1+VLOOKUP(I$6,Data!$A$3:$G$8,6,0))^(1/12)</f>
        <v>9295.8043444939958</v>
      </c>
      <c r="J41" s="59">
        <f>I41*VLOOKUP(I$6,Data!$A$4:$G$8,3,FALSE)</f>
        <v>2788.7413033481985</v>
      </c>
      <c r="K41" s="37">
        <f>VLOOKUP(I$6,Data!$A$3:$G$8,5,FALSE)</f>
        <v>0.06</v>
      </c>
      <c r="L41" s="58">
        <f t="shared" si="5"/>
        <v>557.74826066963976</v>
      </c>
      <c r="M41" s="75">
        <f>L41*VLOOKUP(I$6,Data!$A$4:$G$8,2,FALSE)</f>
        <v>3346.4895640178383</v>
      </c>
      <c r="N41" s="75">
        <f t="shared" si="6"/>
        <v>-557.74826066963988</v>
      </c>
      <c r="O41" s="11">
        <f>O40*(1+VLOOKUP(O$6,Data!$A$3:$G$8,6,0))^(1/12)</f>
        <v>8788.7373403568872</v>
      </c>
      <c r="P41" s="59">
        <f>O41*VLOOKUP(O$6,Data!$A$4:$G$8,3,FALSE)</f>
        <v>8788.7373403568872</v>
      </c>
      <c r="Q41" s="37">
        <f>VLOOKUP(O$6,Data!$A$3:$G$8,5,FALSE)</f>
        <v>0.05</v>
      </c>
      <c r="R41" s="58">
        <f t="shared" si="7"/>
        <v>439.43686701784441</v>
      </c>
      <c r="S41" s="75">
        <f>R41*VLOOKUP(O$6,Data!$A$4:$G$8,2,FALSE)</f>
        <v>3295.7765026338329</v>
      </c>
      <c r="T41" s="75">
        <f t="shared" si="8"/>
        <v>5492.9608377230543</v>
      </c>
      <c r="U41" s="11">
        <f>U40*(1+VLOOKUP(U$6,Data!$A$3:$G$8,6,0))^(1/12)</f>
        <v>11197.984378233852</v>
      </c>
      <c r="V41" s="59">
        <f>U41*VLOOKUP(U$6,Data!$A$4:$G$8,3,FALSE)</f>
        <v>27994.960945584629</v>
      </c>
      <c r="W41" s="37">
        <f>VLOOKUP(U$6,Data!$A$3:$G$8,5,FALSE)</f>
        <v>7.0000000000000007E-2</v>
      </c>
      <c r="X41" s="58">
        <f t="shared" si="9"/>
        <v>783.85890647636973</v>
      </c>
      <c r="Y41" s="75">
        <f>X41*VLOOKUP(U$6,Data!$A$4:$G$8,2,FALSE)</f>
        <v>6662.8007050491424</v>
      </c>
      <c r="Z41" s="82">
        <f t="shared" si="10"/>
        <v>21332.160240535486</v>
      </c>
      <c r="AA41" s="11">
        <f>AA40*(1+VLOOKUP(AA$6,Data!$A$3:$G$8,6,0))^(1/12)</f>
        <v>10788.151979006212</v>
      </c>
      <c r="AB41" s="59">
        <f>AA41*VLOOKUP(AA$6,Data!$A$4:$G$8,3,FALSE)</f>
        <v>29667.417942267082</v>
      </c>
      <c r="AC41" s="37">
        <f>VLOOKUP(AA$6,Data!$A$3:$G$8,5,FALSE)</f>
        <v>0.08</v>
      </c>
      <c r="AD41" s="58">
        <f t="shared" si="11"/>
        <v>863.05215832049703</v>
      </c>
      <c r="AE41" s="75">
        <f>AD41*VLOOKUP(AA$6,Data!$A$4:$G$8,2,FALSE)</f>
        <v>8630.5215832049707</v>
      </c>
      <c r="AF41" s="82">
        <f t="shared" si="12"/>
        <v>21036.896359062113</v>
      </c>
      <c r="AG41" s="61">
        <f t="shared" si="13"/>
        <v>48024.139600966046</v>
      </c>
      <c r="AH41" s="60">
        <f t="shared" si="15"/>
        <v>35000</v>
      </c>
      <c r="AI41" s="60">
        <f t="shared" si="14"/>
        <v>13024.139600966046</v>
      </c>
      <c r="AJ41" s="62">
        <f t="shared" si="16"/>
        <v>1192104.2446834042</v>
      </c>
    </row>
    <row r="42" spans="1:36" x14ac:dyDescent="0.25">
      <c r="A42" s="2">
        <v>35</v>
      </c>
      <c r="B42" s="36">
        <f t="shared" si="2"/>
        <v>3</v>
      </c>
      <c r="C42" s="11">
        <f>C41*(1+VLOOKUP(C$6,Data!$A$3:$G$8,6,0))^(1/12)</f>
        <v>4807.0623256509152</v>
      </c>
      <c r="D42" s="59">
        <f>C42*VLOOKUP(C$6,Data!$A$4:$G$8,3,FALSE)</f>
        <v>2403.5311628254576</v>
      </c>
      <c r="E42" s="37">
        <f>VLOOKUP(C$6,Data!$A$3:$G$8,5,FALSE)</f>
        <v>7.0000000000000007E-2</v>
      </c>
      <c r="F42" s="58">
        <f t="shared" si="3"/>
        <v>336.49436279556409</v>
      </c>
      <c r="G42" s="75">
        <f>F42*VLOOKUP(C$6,Data!$A$4:$G$8,2,FALSE)</f>
        <v>1682.4718139778204</v>
      </c>
      <c r="H42" s="75">
        <f t="shared" si="4"/>
        <v>721.05934884763724</v>
      </c>
      <c r="I42" s="11">
        <f>I41*(1+VLOOKUP(I$6,Data!$A$3:$G$8,6,0))^(1/12)</f>
        <v>9303.5155685012578</v>
      </c>
      <c r="J42" s="59">
        <f>I42*VLOOKUP(I$6,Data!$A$4:$G$8,3,FALSE)</f>
        <v>2791.0546705503771</v>
      </c>
      <c r="K42" s="37">
        <f>VLOOKUP(I$6,Data!$A$3:$G$8,5,FALSE)</f>
        <v>0.06</v>
      </c>
      <c r="L42" s="58">
        <f t="shared" si="5"/>
        <v>558.21093411007541</v>
      </c>
      <c r="M42" s="75">
        <f>L42*VLOOKUP(I$6,Data!$A$4:$G$8,2,FALSE)</f>
        <v>3349.2656046604525</v>
      </c>
      <c r="N42" s="75">
        <f t="shared" si="6"/>
        <v>-558.21093411007541</v>
      </c>
      <c r="O42" s="11">
        <f>O41*(1+VLOOKUP(O$6,Data!$A$3:$G$8,6,0))^(1/12)</f>
        <v>8824.5437441834729</v>
      </c>
      <c r="P42" s="59">
        <f>O42*VLOOKUP(O$6,Data!$A$4:$G$8,3,FALSE)</f>
        <v>8824.5437441834729</v>
      </c>
      <c r="Q42" s="37">
        <f>VLOOKUP(O$6,Data!$A$3:$G$8,5,FALSE)</f>
        <v>0.05</v>
      </c>
      <c r="R42" s="58">
        <f t="shared" si="7"/>
        <v>441.22718720917368</v>
      </c>
      <c r="S42" s="75">
        <f>R42*VLOOKUP(O$6,Data!$A$4:$G$8,2,FALSE)</f>
        <v>3309.2039040688028</v>
      </c>
      <c r="T42" s="75">
        <f t="shared" si="8"/>
        <v>5515.3398401146696</v>
      </c>
      <c r="U42" s="11">
        <f>U41*(1+VLOOKUP(U$6,Data!$A$3:$G$8,6,0))^(1/12)</f>
        <v>11216.478759852138</v>
      </c>
      <c r="V42" s="59">
        <f>U42*VLOOKUP(U$6,Data!$A$4:$G$8,3,FALSE)</f>
        <v>28041.196899630344</v>
      </c>
      <c r="W42" s="37">
        <f>VLOOKUP(U$6,Data!$A$3:$G$8,5,FALSE)</f>
        <v>7.0000000000000007E-2</v>
      </c>
      <c r="X42" s="58">
        <f t="shared" si="9"/>
        <v>785.15351318964974</v>
      </c>
      <c r="Y42" s="75">
        <f>X42*VLOOKUP(U$6,Data!$A$4:$G$8,2,FALSE)</f>
        <v>6673.8048621120224</v>
      </c>
      <c r="Z42" s="82">
        <f t="shared" si="10"/>
        <v>21367.392037518322</v>
      </c>
      <c r="AA42" s="11">
        <f>AA41*(1+VLOOKUP(AA$6,Data!$A$3:$G$8,6,0))^(1/12)</f>
        <v>10814.758472131054</v>
      </c>
      <c r="AB42" s="59">
        <f>AA42*VLOOKUP(AA$6,Data!$A$4:$G$8,3,FALSE)</f>
        <v>29740.5857983604</v>
      </c>
      <c r="AC42" s="37">
        <f>VLOOKUP(AA$6,Data!$A$3:$G$8,5,FALSE)</f>
        <v>0.08</v>
      </c>
      <c r="AD42" s="58">
        <f t="shared" si="11"/>
        <v>865.18067777048429</v>
      </c>
      <c r="AE42" s="75">
        <f>AD42*VLOOKUP(AA$6,Data!$A$4:$G$8,2,FALSE)</f>
        <v>8651.8067777048436</v>
      </c>
      <c r="AF42" s="82">
        <f t="shared" si="12"/>
        <v>21088.779020655558</v>
      </c>
      <c r="AG42" s="61">
        <f t="shared" si="13"/>
        <v>48134.359313026114</v>
      </c>
      <c r="AH42" s="60">
        <f t="shared" si="15"/>
        <v>35000</v>
      </c>
      <c r="AI42" s="60">
        <f t="shared" si="14"/>
        <v>13134.359313026114</v>
      </c>
      <c r="AJ42" s="62">
        <f t="shared" si="16"/>
        <v>1186286.2787100638</v>
      </c>
    </row>
    <row r="43" spans="1:36" x14ac:dyDescent="0.25">
      <c r="A43" s="2">
        <v>36</v>
      </c>
      <c r="B43" s="36">
        <f t="shared" si="2"/>
        <v>3</v>
      </c>
      <c r="C43" s="11">
        <f>C42*(1+VLOOKUP(C$6,Data!$A$3:$G$8,6,0))^(1/12)</f>
        <v>4815.0015799051253</v>
      </c>
      <c r="D43" s="59">
        <f>C43*VLOOKUP(C$6,Data!$A$4:$G$8,3,FALSE)</f>
        <v>2407.5007899525626</v>
      </c>
      <c r="E43" s="37">
        <f>VLOOKUP(C$6,Data!$A$3:$G$8,5,FALSE)</f>
        <v>7.0000000000000007E-2</v>
      </c>
      <c r="F43" s="58">
        <f t="shared" si="3"/>
        <v>337.0501105933588</v>
      </c>
      <c r="G43" s="75">
        <f>F43*VLOOKUP(C$6,Data!$A$4:$G$8,2,FALSE)</f>
        <v>1685.250552966794</v>
      </c>
      <c r="H43" s="75">
        <f t="shared" si="4"/>
        <v>722.25023698576865</v>
      </c>
      <c r="I43" s="11">
        <f>I42*(1+VLOOKUP(I$6,Data!$A$3:$G$8,6,0))^(1/12)</f>
        <v>9311.2331892627426</v>
      </c>
      <c r="J43" s="59">
        <f>I43*VLOOKUP(I$6,Data!$A$4:$G$8,3,FALSE)</f>
        <v>2793.3699567788226</v>
      </c>
      <c r="K43" s="37">
        <f>VLOOKUP(I$6,Data!$A$3:$G$8,5,FALSE)</f>
        <v>0.06</v>
      </c>
      <c r="L43" s="58">
        <f t="shared" si="5"/>
        <v>558.67399135576454</v>
      </c>
      <c r="M43" s="75">
        <f>L43*VLOOKUP(I$6,Data!$A$4:$G$8,2,FALSE)</f>
        <v>3352.0439481345875</v>
      </c>
      <c r="N43" s="75">
        <f t="shared" si="6"/>
        <v>-558.67399135576488</v>
      </c>
      <c r="O43" s="11">
        <f>O42*(1+VLOOKUP(O$6,Data!$A$3:$G$8,6,0))^(1/12)</f>
        <v>8860.4960277314967</v>
      </c>
      <c r="P43" s="59">
        <f>O43*VLOOKUP(O$6,Data!$A$4:$G$8,3,FALSE)</f>
        <v>8860.4960277314967</v>
      </c>
      <c r="Q43" s="37">
        <f>VLOOKUP(O$6,Data!$A$3:$G$8,5,FALSE)</f>
        <v>0.05</v>
      </c>
      <c r="R43" s="58">
        <f t="shared" si="7"/>
        <v>443.02480138657484</v>
      </c>
      <c r="S43" s="75">
        <f>R43*VLOOKUP(O$6,Data!$A$4:$G$8,2,FALSE)</f>
        <v>3322.6860103993113</v>
      </c>
      <c r="T43" s="75">
        <f t="shared" si="8"/>
        <v>5537.8100173321855</v>
      </c>
      <c r="U43" s="11">
        <f>U42*(1+VLOOKUP(U$6,Data!$A$3:$G$8,6,0))^(1/12)</f>
        <v>11235.003686445296</v>
      </c>
      <c r="V43" s="59">
        <f>U43*VLOOKUP(U$6,Data!$A$4:$G$8,3,FALSE)</f>
        <v>28087.509216113242</v>
      </c>
      <c r="W43" s="37">
        <f>VLOOKUP(U$6,Data!$A$3:$G$8,5,FALSE)</f>
        <v>7.0000000000000007E-2</v>
      </c>
      <c r="X43" s="58">
        <f t="shared" si="9"/>
        <v>786.45025805117075</v>
      </c>
      <c r="Y43" s="75">
        <f>X43*VLOOKUP(U$6,Data!$A$4:$G$8,2,FALSE)</f>
        <v>6684.8271934349514</v>
      </c>
      <c r="Z43" s="82">
        <f t="shared" si="10"/>
        <v>21402.682022678291</v>
      </c>
      <c r="AA43" s="11">
        <f>AA42*(1+VLOOKUP(AA$6,Data!$A$3:$G$8,6,0))^(1/12)</f>
        <v>10841.430584045636</v>
      </c>
      <c r="AB43" s="59">
        <f>AA43*VLOOKUP(AA$6,Data!$A$4:$G$8,3,FALSE)</f>
        <v>29813.9341061255</v>
      </c>
      <c r="AC43" s="37">
        <f>VLOOKUP(AA$6,Data!$A$3:$G$8,5,FALSE)</f>
        <v>0.08</v>
      </c>
      <c r="AD43" s="58">
        <f t="shared" si="11"/>
        <v>867.31444672365092</v>
      </c>
      <c r="AE43" s="75">
        <f>AD43*VLOOKUP(AA$6,Data!$A$4:$G$8,2,FALSE)</f>
        <v>8673.1444672365087</v>
      </c>
      <c r="AF43" s="82">
        <f t="shared" si="12"/>
        <v>21140.789638888993</v>
      </c>
      <c r="AG43" s="61">
        <f t="shared" si="13"/>
        <v>48244.857924529475</v>
      </c>
      <c r="AH43" s="60">
        <f t="shared" si="15"/>
        <v>35000</v>
      </c>
      <c r="AI43" s="60">
        <f t="shared" si="14"/>
        <v>13244.857924529475</v>
      </c>
      <c r="AJ43" s="62">
        <f t="shared" si="16"/>
        <v>1180322.9238914684</v>
      </c>
    </row>
    <row r="44" spans="1:36" x14ac:dyDescent="0.25">
      <c r="A44" s="2">
        <v>37</v>
      </c>
      <c r="B44" s="36">
        <f t="shared" si="2"/>
        <v>4</v>
      </c>
      <c r="C44" s="11">
        <f>C43*(1+VLOOKUP(C$6,Data!$A$3:$G$8,6,0))^(1/12)</f>
        <v>4822.9539464832133</v>
      </c>
      <c r="D44" s="59">
        <f>C44*VLOOKUP(C$6,Data!$A$4:$G$8,3,FALSE)</f>
        <v>2411.4769732416066</v>
      </c>
      <c r="E44" s="37">
        <f>VLOOKUP(C$6,Data!$A$3:$G$8,5,FALSE)</f>
        <v>7.0000000000000007E-2</v>
      </c>
      <c r="F44" s="58">
        <f t="shared" si="3"/>
        <v>337.60677625382493</v>
      </c>
      <c r="G44" s="75">
        <f>F44*VLOOKUP(C$6,Data!$A$4:$G$8,2,FALSE)</f>
        <v>1688.0338812691248</v>
      </c>
      <c r="H44" s="75">
        <f t="shared" si="4"/>
        <v>723.44309197248185</v>
      </c>
      <c r="I44" s="11">
        <f>I43*(1+VLOOKUP(I$6,Data!$A$3:$G$8,6,0))^(1/12)</f>
        <v>9318.9572120848006</v>
      </c>
      <c r="J44" s="59">
        <f>I44*VLOOKUP(I$6,Data!$A$4:$G$8,3,FALSE)</f>
        <v>2795.68716362544</v>
      </c>
      <c r="K44" s="37">
        <f>VLOOKUP(I$6,Data!$A$3:$G$8,5,FALSE)</f>
        <v>0.06</v>
      </c>
      <c r="L44" s="58">
        <f t="shared" si="5"/>
        <v>559.13743272508805</v>
      </c>
      <c r="M44" s="75">
        <f>L44*VLOOKUP(I$6,Data!$A$4:$G$8,2,FALSE)</f>
        <v>3354.8245963505283</v>
      </c>
      <c r="N44" s="75">
        <f t="shared" si="6"/>
        <v>-559.13743272508827</v>
      </c>
      <c r="O44" s="11">
        <f>O43*(1+VLOOKUP(O$6,Data!$A$3:$G$8,6,0))^(1/12)</f>
        <v>8896.5947853329999</v>
      </c>
      <c r="P44" s="59">
        <f>O44*VLOOKUP(O$6,Data!$A$4:$G$8,3,FALSE)</f>
        <v>8896.5947853329999</v>
      </c>
      <c r="Q44" s="37">
        <f>VLOOKUP(O$6,Data!$A$3:$G$8,5,FALSE)</f>
        <v>0.05</v>
      </c>
      <c r="R44" s="58">
        <f t="shared" si="7"/>
        <v>444.82973926664999</v>
      </c>
      <c r="S44" s="75">
        <f>R44*VLOOKUP(O$6,Data!$A$4:$G$8,2,FALSE)</f>
        <v>3336.223044499875</v>
      </c>
      <c r="T44" s="75">
        <f t="shared" si="8"/>
        <v>5560.3717408331249</v>
      </c>
      <c r="U44" s="11">
        <f>U43*(1+VLOOKUP(U$6,Data!$A$3:$G$8,6,0))^(1/12)</f>
        <v>11253.559208460834</v>
      </c>
      <c r="V44" s="59">
        <f>U44*VLOOKUP(U$6,Data!$A$4:$G$8,3,FALSE)</f>
        <v>28133.898021152087</v>
      </c>
      <c r="W44" s="37">
        <f>VLOOKUP(U$6,Data!$A$3:$G$8,5,FALSE)</f>
        <v>7.0000000000000007E-2</v>
      </c>
      <c r="X44" s="58">
        <f t="shared" si="9"/>
        <v>787.74914459225852</v>
      </c>
      <c r="Y44" s="75">
        <f>X44*VLOOKUP(U$6,Data!$A$4:$G$8,2,FALSE)</f>
        <v>6695.8677290341975</v>
      </c>
      <c r="Z44" s="82">
        <f t="shared" si="10"/>
        <v>21438.030292117888</v>
      </c>
      <c r="AA44" s="11">
        <f>AA43*(1+VLOOKUP(AA$6,Data!$A$3:$G$8,6,0))^(1/12)</f>
        <v>10868.168476583596</v>
      </c>
      <c r="AB44" s="59">
        <f>AA44*VLOOKUP(AA$6,Data!$A$4:$G$8,3,FALSE)</f>
        <v>29887.46331060489</v>
      </c>
      <c r="AC44" s="37">
        <f>VLOOKUP(AA$6,Data!$A$3:$G$8,5,FALSE)</f>
        <v>0.08</v>
      </c>
      <c r="AD44" s="58">
        <f t="shared" si="11"/>
        <v>869.45347812668774</v>
      </c>
      <c r="AE44" s="75">
        <f>AD44*VLOOKUP(AA$6,Data!$A$4:$G$8,2,FALSE)</f>
        <v>8694.534781266877</v>
      </c>
      <c r="AF44" s="82">
        <f t="shared" si="12"/>
        <v>21192.928529338013</v>
      </c>
      <c r="AG44" s="61">
        <f t="shared" si="13"/>
        <v>48355.636221536421</v>
      </c>
      <c r="AH44" s="60">
        <f t="shared" si="15"/>
        <v>35000</v>
      </c>
      <c r="AI44" s="60">
        <f t="shared" si="14"/>
        <v>13355.636221536421</v>
      </c>
      <c r="AJ44" s="62">
        <f t="shared" si="16"/>
        <v>1174213.022464378</v>
      </c>
    </row>
    <row r="45" spans="1:36" x14ac:dyDescent="0.25">
      <c r="A45" s="2">
        <v>38</v>
      </c>
      <c r="B45" s="36">
        <f t="shared" si="2"/>
        <v>4</v>
      </c>
      <c r="C45" s="11">
        <f>C44*(1+VLOOKUP(C$6,Data!$A$3:$G$8,6,0))^(1/12)</f>
        <v>4830.9194470412476</v>
      </c>
      <c r="D45" s="59">
        <f>C45*VLOOKUP(C$6,Data!$A$4:$G$8,3,FALSE)</f>
        <v>2415.4597235206238</v>
      </c>
      <c r="E45" s="37">
        <f>VLOOKUP(C$6,Data!$A$3:$G$8,5,FALSE)</f>
        <v>7.0000000000000007E-2</v>
      </c>
      <c r="F45" s="58">
        <f t="shared" si="3"/>
        <v>338.16436129288735</v>
      </c>
      <c r="G45" s="75">
        <f>F45*VLOOKUP(C$6,Data!$A$4:$G$8,2,FALSE)</f>
        <v>1690.8218064644368</v>
      </c>
      <c r="H45" s="75">
        <f t="shared" si="4"/>
        <v>724.63791705618701</v>
      </c>
      <c r="I45" s="11">
        <f>I44*(1+VLOOKUP(I$6,Data!$A$3:$G$8,6,0))^(1/12)</f>
        <v>9326.6876422781861</v>
      </c>
      <c r="J45" s="59">
        <f>I45*VLOOKUP(I$6,Data!$A$4:$G$8,3,FALSE)</f>
        <v>2798.0062926834557</v>
      </c>
      <c r="K45" s="37">
        <f>VLOOKUP(I$6,Data!$A$3:$G$8,5,FALSE)</f>
        <v>0.06</v>
      </c>
      <c r="L45" s="58">
        <f t="shared" si="5"/>
        <v>559.60125853669115</v>
      </c>
      <c r="M45" s="75">
        <f>L45*VLOOKUP(I$6,Data!$A$4:$G$8,2,FALSE)</f>
        <v>3357.6075512201469</v>
      </c>
      <c r="N45" s="75">
        <f t="shared" si="6"/>
        <v>-559.60125853669115</v>
      </c>
      <c r="O45" s="11">
        <f>O44*(1+VLOOKUP(O$6,Data!$A$3:$G$8,6,0))^(1/12)</f>
        <v>8932.8406137414077</v>
      </c>
      <c r="P45" s="59">
        <f>O45*VLOOKUP(O$6,Data!$A$4:$G$8,3,FALSE)</f>
        <v>8932.8406137414077</v>
      </c>
      <c r="Q45" s="37">
        <f>VLOOKUP(O$6,Data!$A$3:$G$8,5,FALSE)</f>
        <v>0.05</v>
      </c>
      <c r="R45" s="58">
        <f t="shared" si="7"/>
        <v>446.64203068707042</v>
      </c>
      <c r="S45" s="75">
        <f>R45*VLOOKUP(O$6,Data!$A$4:$G$8,2,FALSE)</f>
        <v>3349.8152301530281</v>
      </c>
      <c r="T45" s="75">
        <f t="shared" si="8"/>
        <v>5583.0253835883796</v>
      </c>
      <c r="U45" s="11">
        <f>U44*(1+VLOOKUP(U$6,Data!$A$3:$G$8,6,0))^(1/12)</f>
        <v>11272.14537642958</v>
      </c>
      <c r="V45" s="59">
        <f>U45*VLOOKUP(U$6,Data!$A$4:$G$8,3,FALSE)</f>
        <v>28180.363441073951</v>
      </c>
      <c r="W45" s="37">
        <f>VLOOKUP(U$6,Data!$A$3:$G$8,5,FALSE)</f>
        <v>7.0000000000000007E-2</v>
      </c>
      <c r="X45" s="58">
        <f t="shared" si="9"/>
        <v>789.05017635007073</v>
      </c>
      <c r="Y45" s="75">
        <f>X45*VLOOKUP(U$6,Data!$A$4:$G$8,2,FALSE)</f>
        <v>6706.9264989756011</v>
      </c>
      <c r="Z45" s="82">
        <f t="shared" si="10"/>
        <v>21473.436942098349</v>
      </c>
      <c r="AA45" s="11">
        <f>AA44*(1+VLOOKUP(AA$6,Data!$A$3:$G$8,6,0))^(1/12)</f>
        <v>10894.972311977697</v>
      </c>
      <c r="AB45" s="59">
        <f>AA45*VLOOKUP(AA$6,Data!$A$4:$G$8,3,FALSE)</f>
        <v>29961.173857938666</v>
      </c>
      <c r="AC45" s="37">
        <f>VLOOKUP(AA$6,Data!$A$3:$G$8,5,FALSE)</f>
        <v>0.08</v>
      </c>
      <c r="AD45" s="58">
        <f t="shared" si="11"/>
        <v>871.59778495821581</v>
      </c>
      <c r="AE45" s="75">
        <f>AD45*VLOOKUP(AA$6,Data!$A$4:$G$8,2,FALSE)</f>
        <v>8715.9778495821574</v>
      </c>
      <c r="AF45" s="82">
        <f t="shared" si="12"/>
        <v>21245.196008356506</v>
      </c>
      <c r="AG45" s="61">
        <f t="shared" si="13"/>
        <v>48466.694992562727</v>
      </c>
      <c r="AH45" s="60">
        <f t="shared" si="15"/>
        <v>35000</v>
      </c>
      <c r="AI45" s="60">
        <f t="shared" si="14"/>
        <v>13466.694992562727</v>
      </c>
      <c r="AJ45" s="62">
        <f t="shared" si="16"/>
        <v>1167955.4088809076</v>
      </c>
    </row>
    <row r="46" spans="1:36" x14ac:dyDescent="0.25">
      <c r="A46" s="2">
        <v>39</v>
      </c>
      <c r="B46" s="36">
        <f t="shared" si="2"/>
        <v>4</v>
      </c>
      <c r="C46" s="11">
        <f>C45*(1+VLOOKUP(C$6,Data!$A$3:$G$8,6,0))^(1/12)</f>
        <v>4838.8981032710635</v>
      </c>
      <c r="D46" s="59">
        <f>C46*VLOOKUP(C$6,Data!$A$4:$G$8,3,FALSE)</f>
        <v>2419.4490516355318</v>
      </c>
      <c r="E46" s="37">
        <f>VLOOKUP(C$6,Data!$A$3:$G$8,5,FALSE)</f>
        <v>7.0000000000000007E-2</v>
      </c>
      <c r="F46" s="58">
        <f t="shared" si="3"/>
        <v>338.72286722897445</v>
      </c>
      <c r="G46" s="75">
        <f>F46*VLOOKUP(C$6,Data!$A$4:$G$8,2,FALSE)</f>
        <v>1693.6143361448721</v>
      </c>
      <c r="H46" s="75">
        <f t="shared" si="4"/>
        <v>725.83471549065962</v>
      </c>
      <c r="I46" s="11">
        <f>I45*(1+VLOOKUP(I$6,Data!$A$3:$G$8,6,0))^(1/12)</f>
        <v>9334.424485158057</v>
      </c>
      <c r="J46" s="59">
        <f>I46*VLOOKUP(I$6,Data!$A$4:$G$8,3,FALSE)</f>
        <v>2800.3273455474168</v>
      </c>
      <c r="K46" s="37">
        <f>VLOOKUP(I$6,Data!$A$3:$G$8,5,FALSE)</f>
        <v>0.06</v>
      </c>
      <c r="L46" s="58">
        <f t="shared" si="5"/>
        <v>560.06546910948339</v>
      </c>
      <c r="M46" s="75">
        <f>L46*VLOOKUP(I$6,Data!$A$4:$G$8,2,FALSE)</f>
        <v>3360.3928146569006</v>
      </c>
      <c r="N46" s="75">
        <f t="shared" si="6"/>
        <v>-560.06546910948373</v>
      </c>
      <c r="O46" s="11">
        <f>O45*(1+VLOOKUP(O$6,Data!$A$3:$G$8,6,0))^(1/12)</f>
        <v>8969.234112141392</v>
      </c>
      <c r="P46" s="59">
        <f>O46*VLOOKUP(O$6,Data!$A$4:$G$8,3,FALSE)</f>
        <v>8969.234112141392</v>
      </c>
      <c r="Q46" s="37">
        <f>VLOOKUP(O$6,Data!$A$3:$G$8,5,FALSE)</f>
        <v>0.05</v>
      </c>
      <c r="R46" s="58">
        <f t="shared" si="7"/>
        <v>448.46170560706963</v>
      </c>
      <c r="S46" s="75">
        <f>R46*VLOOKUP(O$6,Data!$A$4:$G$8,2,FALSE)</f>
        <v>3363.4627920530224</v>
      </c>
      <c r="T46" s="75">
        <f t="shared" si="8"/>
        <v>5605.77132008837</v>
      </c>
      <c r="U46" s="11">
        <f>U45*(1+VLOOKUP(U$6,Data!$A$3:$G$8,6,0))^(1/12)</f>
        <v>11290.762240965818</v>
      </c>
      <c r="V46" s="59">
        <f>U46*VLOOKUP(U$6,Data!$A$4:$G$8,3,FALSE)</f>
        <v>28226.905602414547</v>
      </c>
      <c r="W46" s="37">
        <f>VLOOKUP(U$6,Data!$A$3:$G$8,5,FALSE)</f>
        <v>7.0000000000000007E-2</v>
      </c>
      <c r="X46" s="58">
        <f t="shared" si="9"/>
        <v>790.35335686760732</v>
      </c>
      <c r="Y46" s="75">
        <f>X46*VLOOKUP(U$6,Data!$A$4:$G$8,2,FALSE)</f>
        <v>6718.0035333746619</v>
      </c>
      <c r="Z46" s="82">
        <f t="shared" si="10"/>
        <v>21508.902069039883</v>
      </c>
      <c r="AA46" s="11">
        <f>AA45*(1+VLOOKUP(AA$6,Data!$A$3:$G$8,6,0))^(1/12)</f>
        <v>10921.842252860813</v>
      </c>
      <c r="AB46" s="59">
        <f>AA46*VLOOKUP(AA$6,Data!$A$4:$G$8,3,FALSE)</f>
        <v>30035.066195367239</v>
      </c>
      <c r="AC46" s="37">
        <f>VLOOKUP(AA$6,Data!$A$3:$G$8,5,FALSE)</f>
        <v>0.08</v>
      </c>
      <c r="AD46" s="58">
        <f t="shared" si="11"/>
        <v>873.74738022886504</v>
      </c>
      <c r="AE46" s="75">
        <f>AD46*VLOOKUP(AA$6,Data!$A$4:$G$8,2,FALSE)</f>
        <v>8737.4738022886504</v>
      </c>
      <c r="AF46" s="82">
        <f t="shared" si="12"/>
        <v>21297.592393078587</v>
      </c>
      <c r="AG46" s="61">
        <f t="shared" si="13"/>
        <v>48578.035028588012</v>
      </c>
      <c r="AH46" s="60">
        <f t="shared" si="15"/>
        <v>35000</v>
      </c>
      <c r="AI46" s="60">
        <f t="shared" si="14"/>
        <v>13578.035028588012</v>
      </c>
      <c r="AJ46" s="62">
        <f t="shared" si="16"/>
        <v>1161548.9097590134</v>
      </c>
    </row>
    <row r="47" spans="1:36" x14ac:dyDescent="0.25">
      <c r="A47" s="2">
        <v>40</v>
      </c>
      <c r="B47" s="36">
        <f t="shared" si="2"/>
        <v>4</v>
      </c>
      <c r="C47" s="11">
        <f>C46*(1+VLOOKUP(C$6,Data!$A$3:$G$8,6,0))^(1/12)</f>
        <v>4846.8899369003229</v>
      </c>
      <c r="D47" s="59">
        <f>C47*VLOOKUP(C$6,Data!$A$4:$G$8,3,FALSE)</f>
        <v>2423.4449684501615</v>
      </c>
      <c r="E47" s="37">
        <f>VLOOKUP(C$6,Data!$A$3:$G$8,5,FALSE)</f>
        <v>7.0000000000000007E-2</v>
      </c>
      <c r="F47" s="58">
        <f t="shared" si="3"/>
        <v>339.28229558302263</v>
      </c>
      <c r="G47" s="75">
        <f>F47*VLOOKUP(C$6,Data!$A$4:$G$8,2,FALSE)</f>
        <v>1696.4114779151132</v>
      </c>
      <c r="H47" s="75">
        <f t="shared" si="4"/>
        <v>727.03349053504826</v>
      </c>
      <c r="I47" s="11">
        <f>I46*(1+VLOOKUP(I$6,Data!$A$3:$G$8,6,0))^(1/12)</f>
        <v>9342.1677460439823</v>
      </c>
      <c r="J47" s="59">
        <f>I47*VLOOKUP(I$6,Data!$A$4:$G$8,3,FALSE)</f>
        <v>2802.6503238131945</v>
      </c>
      <c r="K47" s="37">
        <f>VLOOKUP(I$6,Data!$A$3:$G$8,5,FALSE)</f>
        <v>0.06</v>
      </c>
      <c r="L47" s="58">
        <f t="shared" si="5"/>
        <v>560.53006476263897</v>
      </c>
      <c r="M47" s="75">
        <f>L47*VLOOKUP(I$6,Data!$A$4:$G$8,2,FALSE)</f>
        <v>3363.1803885758336</v>
      </c>
      <c r="N47" s="75">
        <f t="shared" si="6"/>
        <v>-560.53006476263909</v>
      </c>
      <c r="O47" s="11">
        <f>O46*(1+VLOOKUP(O$6,Data!$A$3:$G$8,6,0))^(1/12)</f>
        <v>9005.7758821587777</v>
      </c>
      <c r="P47" s="59">
        <f>O47*VLOOKUP(O$6,Data!$A$4:$G$8,3,FALSE)</f>
        <v>9005.7758821587777</v>
      </c>
      <c r="Q47" s="37">
        <f>VLOOKUP(O$6,Data!$A$3:$G$8,5,FALSE)</f>
        <v>0.05</v>
      </c>
      <c r="R47" s="58">
        <f t="shared" si="7"/>
        <v>450.28879410793888</v>
      </c>
      <c r="S47" s="75">
        <f>R47*VLOOKUP(O$6,Data!$A$4:$G$8,2,FALSE)</f>
        <v>3377.1659558095416</v>
      </c>
      <c r="T47" s="75">
        <f t="shared" si="8"/>
        <v>5628.609926349236</v>
      </c>
      <c r="U47" s="11">
        <f>U46*(1+VLOOKUP(U$6,Data!$A$3:$G$8,6,0))^(1/12)</f>
        <v>11309.409852767423</v>
      </c>
      <c r="V47" s="59">
        <f>U47*VLOOKUP(U$6,Data!$A$4:$G$8,3,FALSE)</f>
        <v>28273.524631918557</v>
      </c>
      <c r="W47" s="37">
        <f>VLOOKUP(U$6,Data!$A$3:$G$8,5,FALSE)</f>
        <v>7.0000000000000007E-2</v>
      </c>
      <c r="X47" s="58">
        <f t="shared" si="9"/>
        <v>791.65868969371968</v>
      </c>
      <c r="Y47" s="75">
        <f>X47*VLOOKUP(U$6,Data!$A$4:$G$8,2,FALSE)</f>
        <v>6729.0988623966168</v>
      </c>
      <c r="Z47" s="82">
        <f t="shared" si="10"/>
        <v>21544.425769521942</v>
      </c>
      <c r="AA47" s="11">
        <f>AA46*(1+VLOOKUP(AA$6,Data!$A$3:$G$8,6,0))^(1/12)</f>
        <v>10948.778462266913</v>
      </c>
      <c r="AB47" s="59">
        <f>AA47*VLOOKUP(AA$6,Data!$A$4:$G$8,3,FALSE)</f>
        <v>30109.140771234011</v>
      </c>
      <c r="AC47" s="37">
        <f>VLOOKUP(AA$6,Data!$A$3:$G$8,5,FALSE)</f>
        <v>0.08</v>
      </c>
      <c r="AD47" s="58">
        <f t="shared" si="11"/>
        <v>875.90227698135311</v>
      </c>
      <c r="AE47" s="75">
        <f>AD47*VLOOKUP(AA$6,Data!$A$4:$G$8,2,FALSE)</f>
        <v>8759.0227698135313</v>
      </c>
      <c r="AF47" s="82">
        <f t="shared" si="12"/>
        <v>21350.11800142048</v>
      </c>
      <c r="AG47" s="61">
        <f t="shared" si="13"/>
        <v>48689.657123064069</v>
      </c>
      <c r="AH47" s="60">
        <f t="shared" si="15"/>
        <v>35000</v>
      </c>
      <c r="AI47" s="60">
        <f t="shared" si="14"/>
        <v>13689.657123064069</v>
      </c>
      <c r="AJ47" s="62">
        <f t="shared" si="16"/>
        <v>1154992.343832673</v>
      </c>
    </row>
    <row r="48" spans="1:36" x14ac:dyDescent="0.25">
      <c r="A48" s="2">
        <v>41</v>
      </c>
      <c r="B48" s="36">
        <f t="shared" si="2"/>
        <v>4</v>
      </c>
      <c r="C48" s="11">
        <f>C47*(1+VLOOKUP(C$6,Data!$A$3:$G$8,6,0))^(1/12)</f>
        <v>4854.8949696925729</v>
      </c>
      <c r="D48" s="59">
        <f>C48*VLOOKUP(C$6,Data!$A$4:$G$8,3,FALSE)</f>
        <v>2427.4474848462864</v>
      </c>
      <c r="E48" s="37">
        <f>VLOOKUP(C$6,Data!$A$3:$G$8,5,FALSE)</f>
        <v>7.0000000000000007E-2</v>
      </c>
      <c r="F48" s="58">
        <f t="shared" si="3"/>
        <v>339.84264787848014</v>
      </c>
      <c r="G48" s="75">
        <f>F48*VLOOKUP(C$6,Data!$A$4:$G$8,2,FALSE)</f>
        <v>1699.2132393924007</v>
      </c>
      <c r="H48" s="75">
        <f t="shared" si="4"/>
        <v>728.23424545388571</v>
      </c>
      <c r="I48" s="11">
        <f>I47*(1+VLOOKUP(I$6,Data!$A$3:$G$8,6,0))^(1/12)</f>
        <v>9349.9174302599404</v>
      </c>
      <c r="J48" s="59">
        <f>I48*VLOOKUP(I$6,Data!$A$4:$G$8,3,FALSE)</f>
        <v>2804.975229077982</v>
      </c>
      <c r="K48" s="37">
        <f>VLOOKUP(I$6,Data!$A$3:$G$8,5,FALSE)</f>
        <v>0.06</v>
      </c>
      <c r="L48" s="58">
        <f t="shared" si="5"/>
        <v>560.99504581559643</v>
      </c>
      <c r="M48" s="75">
        <f>L48*VLOOKUP(I$6,Data!$A$4:$G$8,2,FALSE)</f>
        <v>3365.9702748935788</v>
      </c>
      <c r="N48" s="75">
        <f t="shared" si="6"/>
        <v>-560.99504581559677</v>
      </c>
      <c r="O48" s="11">
        <f>O47*(1+VLOOKUP(O$6,Data!$A$3:$G$8,6,0))^(1/12)</f>
        <v>9042.466527870487</v>
      </c>
      <c r="P48" s="59">
        <f>O48*VLOOKUP(O$6,Data!$A$4:$G$8,3,FALSE)</f>
        <v>9042.466527870487</v>
      </c>
      <c r="Q48" s="37">
        <f>VLOOKUP(O$6,Data!$A$3:$G$8,5,FALSE)</f>
        <v>0.05</v>
      </c>
      <c r="R48" s="58">
        <f t="shared" si="7"/>
        <v>452.12332639352439</v>
      </c>
      <c r="S48" s="75">
        <f>R48*VLOOKUP(O$6,Data!$A$4:$G$8,2,FALSE)</f>
        <v>3390.9249479514328</v>
      </c>
      <c r="T48" s="75">
        <f t="shared" si="8"/>
        <v>5651.5415799190541</v>
      </c>
      <c r="U48" s="11">
        <f>U47*(1+VLOOKUP(U$6,Data!$A$3:$G$8,6,0))^(1/12)</f>
        <v>11328.088262616006</v>
      </c>
      <c r="V48" s="59">
        <f>U48*VLOOKUP(U$6,Data!$A$4:$G$8,3,FALSE)</f>
        <v>28320.220656540012</v>
      </c>
      <c r="W48" s="37">
        <f>VLOOKUP(U$6,Data!$A$3:$G$8,5,FALSE)</f>
        <v>7.0000000000000007E-2</v>
      </c>
      <c r="X48" s="58">
        <f t="shared" si="9"/>
        <v>792.96617838312045</v>
      </c>
      <c r="Y48" s="75">
        <f>X48*VLOOKUP(U$6,Data!$A$4:$G$8,2,FALSE)</f>
        <v>6740.2125162565235</v>
      </c>
      <c r="Z48" s="82">
        <f t="shared" si="10"/>
        <v>21580.008140283488</v>
      </c>
      <c r="AA48" s="11">
        <f>AA47*(1+VLOOKUP(AA$6,Data!$A$3:$G$8,6,0))^(1/12)</f>
        <v>10975.781103632053</v>
      </c>
      <c r="AB48" s="59">
        <f>AA48*VLOOKUP(AA$6,Data!$A$4:$G$8,3,FALSE)</f>
        <v>30183.398034988146</v>
      </c>
      <c r="AC48" s="37">
        <f>VLOOKUP(AA$6,Data!$A$3:$G$8,5,FALSE)</f>
        <v>0.08</v>
      </c>
      <c r="AD48" s="58">
        <f t="shared" si="11"/>
        <v>878.06248829056426</v>
      </c>
      <c r="AE48" s="75">
        <f>AD48*VLOOKUP(AA$6,Data!$A$4:$G$8,2,FALSE)</f>
        <v>8780.6248829056422</v>
      </c>
      <c r="AF48" s="82">
        <f t="shared" si="12"/>
        <v>21402.773152082504</v>
      </c>
      <c r="AG48" s="61">
        <f t="shared" si="13"/>
        <v>48801.562071923334</v>
      </c>
      <c r="AH48" s="60">
        <f t="shared" si="15"/>
        <v>35000</v>
      </c>
      <c r="AI48" s="60">
        <f t="shared" si="14"/>
        <v>13801.562071923334</v>
      </c>
      <c r="AJ48" s="62">
        <f t="shared" si="16"/>
        <v>1148284.5219017542</v>
      </c>
    </row>
    <row r="49" spans="1:36" x14ac:dyDescent="0.25">
      <c r="A49" s="2">
        <v>42</v>
      </c>
      <c r="B49" s="36">
        <f t="shared" si="2"/>
        <v>4</v>
      </c>
      <c r="C49" s="11">
        <f>C48*(1+VLOOKUP(C$6,Data!$A$3:$G$8,6,0))^(1/12)</f>
        <v>4862.9132234473036</v>
      </c>
      <c r="D49" s="59">
        <f>C49*VLOOKUP(C$6,Data!$A$4:$G$8,3,FALSE)</f>
        <v>2431.4566117236518</v>
      </c>
      <c r="E49" s="37">
        <f>VLOOKUP(C$6,Data!$A$3:$G$8,5,FALSE)</f>
        <v>7.0000000000000007E-2</v>
      </c>
      <c r="F49" s="58">
        <f t="shared" si="3"/>
        <v>340.40392564131128</v>
      </c>
      <c r="G49" s="75">
        <f>F49*VLOOKUP(C$6,Data!$A$4:$G$8,2,FALSE)</f>
        <v>1702.0196282065563</v>
      </c>
      <c r="H49" s="75">
        <f t="shared" si="4"/>
        <v>729.43698351709554</v>
      </c>
      <c r="I49" s="11">
        <f>I48*(1+VLOOKUP(I$6,Data!$A$3:$G$8,6,0))^(1/12)</f>
        <v>9357.6735431343313</v>
      </c>
      <c r="J49" s="59">
        <f>I49*VLOOKUP(I$6,Data!$A$4:$G$8,3,FALSE)</f>
        <v>2807.3020629402995</v>
      </c>
      <c r="K49" s="37">
        <f>VLOOKUP(I$6,Data!$A$3:$G$8,5,FALSE)</f>
        <v>0.06</v>
      </c>
      <c r="L49" s="58">
        <f t="shared" si="5"/>
        <v>561.46041258805985</v>
      </c>
      <c r="M49" s="75">
        <f>L49*VLOOKUP(I$6,Data!$A$4:$G$8,2,FALSE)</f>
        <v>3368.7624755283591</v>
      </c>
      <c r="N49" s="75">
        <f t="shared" si="6"/>
        <v>-561.46041258805963</v>
      </c>
      <c r="O49" s="11">
        <f>O48*(1+VLOOKUP(O$6,Data!$A$3:$G$8,6,0))^(1/12)</f>
        <v>9079.3066558145274</v>
      </c>
      <c r="P49" s="59">
        <f>O49*VLOOKUP(O$6,Data!$A$4:$G$8,3,FALSE)</f>
        <v>9079.3066558145274</v>
      </c>
      <c r="Q49" s="37">
        <f>VLOOKUP(O$6,Data!$A$3:$G$8,5,FALSE)</f>
        <v>0.05</v>
      </c>
      <c r="R49" s="58">
        <f t="shared" si="7"/>
        <v>453.96533279072639</v>
      </c>
      <c r="S49" s="75">
        <f>R49*VLOOKUP(O$6,Data!$A$4:$G$8,2,FALSE)</f>
        <v>3404.739995930448</v>
      </c>
      <c r="T49" s="75">
        <f t="shared" si="8"/>
        <v>5674.5666598840799</v>
      </c>
      <c r="U49" s="11">
        <f>U48*(1+VLOOKUP(U$6,Data!$A$3:$G$8,6,0))^(1/12)</f>
        <v>11346.797521377044</v>
      </c>
      <c r="V49" s="59">
        <f>U49*VLOOKUP(U$6,Data!$A$4:$G$8,3,FALSE)</f>
        <v>28366.993803442609</v>
      </c>
      <c r="W49" s="37">
        <f>VLOOKUP(U$6,Data!$A$3:$G$8,5,FALSE)</f>
        <v>7.0000000000000007E-2</v>
      </c>
      <c r="X49" s="58">
        <f t="shared" si="9"/>
        <v>794.27582649639317</v>
      </c>
      <c r="Y49" s="75">
        <f>X49*VLOOKUP(U$6,Data!$A$4:$G$8,2,FALSE)</f>
        <v>6751.3445252193414</v>
      </c>
      <c r="Z49" s="82">
        <f t="shared" si="10"/>
        <v>21615.649278223267</v>
      </c>
      <c r="AA49" s="11">
        <f>AA48*(1+VLOOKUP(AA$6,Data!$A$3:$G$8,6,0))^(1/12)</f>
        <v>11002.850340795363</v>
      </c>
      <c r="AB49" s="59">
        <f>AA49*VLOOKUP(AA$6,Data!$A$4:$G$8,3,FALSE)</f>
        <v>30257.838437187249</v>
      </c>
      <c r="AC49" s="37">
        <f>VLOOKUP(AA$6,Data!$A$3:$G$8,5,FALSE)</f>
        <v>0.08</v>
      </c>
      <c r="AD49" s="58">
        <f t="shared" si="11"/>
        <v>880.22802726362909</v>
      </c>
      <c r="AE49" s="75">
        <f>AD49*VLOOKUP(AA$6,Data!$A$4:$G$8,2,FALSE)</f>
        <v>8802.2802726362916</v>
      </c>
      <c r="AF49" s="82">
        <f t="shared" si="12"/>
        <v>21455.558164550959</v>
      </c>
      <c r="AG49" s="61">
        <f t="shared" si="13"/>
        <v>48913.750673587347</v>
      </c>
      <c r="AH49" s="60">
        <f t="shared" si="15"/>
        <v>35000</v>
      </c>
      <c r="AI49" s="60">
        <f t="shared" si="14"/>
        <v>13913.750673587347</v>
      </c>
      <c r="AJ49" s="62">
        <f t="shared" si="16"/>
        <v>1141424.2467815743</v>
      </c>
    </row>
    <row r="50" spans="1:36" x14ac:dyDescent="0.25">
      <c r="A50" s="2">
        <v>43</v>
      </c>
      <c r="B50" s="36">
        <f t="shared" si="2"/>
        <v>4</v>
      </c>
      <c r="C50" s="11">
        <f>C49*(1+VLOOKUP(C$6,Data!$A$3:$G$8,6,0))^(1/12)</f>
        <v>4870.9447200000095</v>
      </c>
      <c r="D50" s="59">
        <f>C50*VLOOKUP(C$6,Data!$A$4:$G$8,3,FALSE)</f>
        <v>2435.4723600000048</v>
      </c>
      <c r="E50" s="37">
        <f>VLOOKUP(C$6,Data!$A$3:$G$8,5,FALSE)</f>
        <v>7.0000000000000007E-2</v>
      </c>
      <c r="F50" s="58">
        <f t="shared" si="3"/>
        <v>340.96613040000068</v>
      </c>
      <c r="G50" s="75">
        <f>F50*VLOOKUP(C$6,Data!$A$4:$G$8,2,FALSE)</f>
        <v>1704.8306520000033</v>
      </c>
      <c r="H50" s="75">
        <f t="shared" si="4"/>
        <v>730.64170800000147</v>
      </c>
      <c r="I50" s="11">
        <f>I49*(1+VLOOKUP(I$6,Data!$A$3:$G$8,6,0))^(1/12)</f>
        <v>9365.4360899999701</v>
      </c>
      <c r="J50" s="59">
        <f>I50*VLOOKUP(I$6,Data!$A$4:$G$8,3,FALSE)</f>
        <v>2809.6308269999909</v>
      </c>
      <c r="K50" s="37">
        <f>VLOOKUP(I$6,Data!$A$3:$G$8,5,FALSE)</f>
        <v>0.06</v>
      </c>
      <c r="L50" s="58">
        <f t="shared" si="5"/>
        <v>561.92616539999824</v>
      </c>
      <c r="M50" s="75">
        <f>L50*VLOOKUP(I$6,Data!$A$4:$G$8,2,FALSE)</f>
        <v>3371.5569923999892</v>
      </c>
      <c r="N50" s="75">
        <f t="shared" si="6"/>
        <v>-561.92616539999835</v>
      </c>
      <c r="O50" s="11">
        <f>O49*(1+VLOOKUP(O$6,Data!$A$3:$G$8,6,0))^(1/12)</f>
        <v>9116.2968750000182</v>
      </c>
      <c r="P50" s="59">
        <f>O50*VLOOKUP(O$6,Data!$A$4:$G$8,3,FALSE)</f>
        <v>9116.2968750000182</v>
      </c>
      <c r="Q50" s="37">
        <f>VLOOKUP(O$6,Data!$A$3:$G$8,5,FALSE)</f>
        <v>0.05</v>
      </c>
      <c r="R50" s="58">
        <f t="shared" si="7"/>
        <v>455.81484375000093</v>
      </c>
      <c r="S50" s="75">
        <f>R50*VLOOKUP(O$6,Data!$A$4:$G$8,2,FALSE)</f>
        <v>3418.6113281250068</v>
      </c>
      <c r="T50" s="75">
        <f t="shared" si="8"/>
        <v>5697.6855468750109</v>
      </c>
      <c r="U50" s="11">
        <f>U49*(1+VLOOKUP(U$6,Data!$A$3:$G$8,6,0))^(1/12)</f>
        <v>11365.537680000025</v>
      </c>
      <c r="V50" s="59">
        <f>U50*VLOOKUP(U$6,Data!$A$4:$G$8,3,FALSE)</f>
        <v>28413.844200000061</v>
      </c>
      <c r="W50" s="37">
        <f>VLOOKUP(U$6,Data!$A$3:$G$8,5,FALSE)</f>
        <v>7.0000000000000007E-2</v>
      </c>
      <c r="X50" s="58">
        <f t="shared" si="9"/>
        <v>795.58763760000181</v>
      </c>
      <c r="Y50" s="75">
        <f>X50*VLOOKUP(U$6,Data!$A$4:$G$8,2,FALSE)</f>
        <v>6762.4949196000152</v>
      </c>
      <c r="Z50" s="82">
        <f t="shared" si="10"/>
        <v>21651.349280400045</v>
      </c>
      <c r="AA50" s="11">
        <f>AA49*(1+VLOOKUP(AA$6,Data!$A$3:$G$8,6,0))^(1/12)</f>
        <v>11029.986338000048</v>
      </c>
      <c r="AB50" s="59">
        <f>AA50*VLOOKUP(AA$6,Data!$A$4:$G$8,3,FALSE)</f>
        <v>30332.46242950013</v>
      </c>
      <c r="AC50" s="37">
        <f>VLOOKUP(AA$6,Data!$A$3:$G$8,5,FALSE)</f>
        <v>0.08</v>
      </c>
      <c r="AD50" s="58">
        <f t="shared" si="11"/>
        <v>882.39890704000391</v>
      </c>
      <c r="AE50" s="75">
        <f>AD50*VLOOKUP(AA$6,Data!$A$4:$G$8,2,FALSE)</f>
        <v>8823.9890704000391</v>
      </c>
      <c r="AF50" s="82">
        <f t="shared" si="12"/>
        <v>21508.473359100091</v>
      </c>
      <c r="AG50" s="61">
        <f t="shared" si="13"/>
        <v>49026.22372897515</v>
      </c>
      <c r="AH50" s="60">
        <f t="shared" si="15"/>
        <v>35000</v>
      </c>
      <c r="AI50" s="60">
        <f t="shared" si="14"/>
        <v>14026.22372897515</v>
      </c>
      <c r="AJ50" s="62">
        <f t="shared" si="16"/>
        <v>1134410.3132521447</v>
      </c>
    </row>
    <row r="51" spans="1:36" x14ac:dyDescent="0.25">
      <c r="A51" s="2">
        <v>44</v>
      </c>
      <c r="B51" s="36">
        <f t="shared" si="2"/>
        <v>4</v>
      </c>
      <c r="C51" s="11">
        <f>C50*(1+VLOOKUP(C$6,Data!$A$3:$G$8,6,0))^(1/12)</f>
        <v>4878.9894812222483</v>
      </c>
      <c r="D51" s="59">
        <f>C51*VLOOKUP(C$6,Data!$A$4:$G$8,3,FALSE)</f>
        <v>2439.4947406111241</v>
      </c>
      <c r="E51" s="37">
        <f>VLOOKUP(C$6,Data!$A$3:$G$8,5,FALSE)</f>
        <v>7.0000000000000007E-2</v>
      </c>
      <c r="F51" s="58">
        <f t="shared" si="3"/>
        <v>341.5292636855574</v>
      </c>
      <c r="G51" s="75">
        <f>F51*VLOOKUP(C$6,Data!$A$4:$G$8,2,FALSE)</f>
        <v>1707.646318427787</v>
      </c>
      <c r="H51" s="75">
        <f t="shared" si="4"/>
        <v>731.84842218333711</v>
      </c>
      <c r="I51" s="11">
        <f>I50*(1+VLOOKUP(I$6,Data!$A$3:$G$8,6,0))^(1/12)</f>
        <v>9373.2050761940991</v>
      </c>
      <c r="J51" s="59">
        <f>I51*VLOOKUP(I$6,Data!$A$4:$G$8,3,FALSE)</f>
        <v>2811.9615228582297</v>
      </c>
      <c r="K51" s="37">
        <f>VLOOKUP(I$6,Data!$A$3:$G$8,5,FALSE)</f>
        <v>0.06</v>
      </c>
      <c r="L51" s="58">
        <f t="shared" si="5"/>
        <v>562.39230457164592</v>
      </c>
      <c r="M51" s="75">
        <f>L51*VLOOKUP(I$6,Data!$A$4:$G$8,2,FALSE)</f>
        <v>3374.3538274298753</v>
      </c>
      <c r="N51" s="75">
        <f t="shared" si="6"/>
        <v>-562.39230457164558</v>
      </c>
      <c r="O51" s="11">
        <f>O50*(1+VLOOKUP(O$6,Data!$A$3:$G$8,6,0))^(1/12)</f>
        <v>9153.4377969172547</v>
      </c>
      <c r="P51" s="59">
        <f>O51*VLOOKUP(O$6,Data!$A$4:$G$8,3,FALSE)</f>
        <v>9153.4377969172547</v>
      </c>
      <c r="Q51" s="37">
        <f>VLOOKUP(O$6,Data!$A$3:$G$8,5,FALSE)</f>
        <v>0.05</v>
      </c>
      <c r="R51" s="58">
        <f t="shared" si="7"/>
        <v>457.67188984586278</v>
      </c>
      <c r="S51" s="75">
        <f>R51*VLOOKUP(O$6,Data!$A$4:$G$8,2,FALSE)</f>
        <v>3432.5391738439707</v>
      </c>
      <c r="T51" s="75">
        <f t="shared" si="8"/>
        <v>5720.8986230732844</v>
      </c>
      <c r="U51" s="11">
        <f>U50*(1+VLOOKUP(U$6,Data!$A$3:$G$8,6,0))^(1/12)</f>
        <v>11384.308789518584</v>
      </c>
      <c r="V51" s="59">
        <f>U51*VLOOKUP(U$6,Data!$A$4:$G$8,3,FALSE)</f>
        <v>28460.771973796458</v>
      </c>
      <c r="W51" s="37">
        <f>VLOOKUP(U$6,Data!$A$3:$G$8,5,FALSE)</f>
        <v>7.0000000000000007E-2</v>
      </c>
      <c r="X51" s="58">
        <f t="shared" si="9"/>
        <v>796.90161526630095</v>
      </c>
      <c r="Y51" s="75">
        <f>X51*VLOOKUP(U$6,Data!$A$4:$G$8,2,FALSE)</f>
        <v>6773.663729763558</v>
      </c>
      <c r="Z51" s="82">
        <f t="shared" si="10"/>
        <v>21687.108244032901</v>
      </c>
      <c r="AA51" s="11">
        <f>AA50*(1+VLOOKUP(AA$6,Data!$A$3:$G$8,6,0))^(1/12)</f>
        <v>11057.18925989438</v>
      </c>
      <c r="AB51" s="59">
        <f>AA51*VLOOKUP(AA$6,Data!$A$4:$G$8,3,FALSE)</f>
        <v>30407.270464709545</v>
      </c>
      <c r="AC51" s="37">
        <f>VLOOKUP(AA$6,Data!$A$3:$G$8,5,FALSE)</f>
        <v>0.08</v>
      </c>
      <c r="AD51" s="58">
        <f t="shared" si="11"/>
        <v>884.57514079155044</v>
      </c>
      <c r="AE51" s="75">
        <f>AD51*VLOOKUP(AA$6,Data!$A$4:$G$8,2,FALSE)</f>
        <v>8845.7514079155044</v>
      </c>
      <c r="AF51" s="82">
        <f t="shared" si="12"/>
        <v>21561.519056794041</v>
      </c>
      <c r="AG51" s="61">
        <f t="shared" si="13"/>
        <v>49138.982041511917</v>
      </c>
      <c r="AH51" s="60">
        <f t="shared" si="15"/>
        <v>35000</v>
      </c>
      <c r="AI51" s="60">
        <f t="shared" si="14"/>
        <v>14138.982041511917</v>
      </c>
      <c r="AJ51" s="62">
        <f t="shared" si="16"/>
        <v>1127241.5080071003</v>
      </c>
    </row>
    <row r="52" spans="1:36" x14ac:dyDescent="0.25">
      <c r="A52" s="2">
        <v>45</v>
      </c>
      <c r="B52" s="36">
        <f t="shared" si="2"/>
        <v>4</v>
      </c>
      <c r="C52" s="11">
        <f>C51*(1+VLOOKUP(C$6,Data!$A$3:$G$8,6,0))^(1/12)</f>
        <v>4887.0475290217</v>
      </c>
      <c r="D52" s="59">
        <f>C52*VLOOKUP(C$6,Data!$A$4:$G$8,3,FALSE)</f>
        <v>2443.52376451085</v>
      </c>
      <c r="E52" s="37">
        <f>VLOOKUP(C$6,Data!$A$3:$G$8,5,FALSE)</f>
        <v>7.0000000000000007E-2</v>
      </c>
      <c r="F52" s="58">
        <f t="shared" si="3"/>
        <v>342.09332703151904</v>
      </c>
      <c r="G52" s="75">
        <f>F52*VLOOKUP(C$6,Data!$A$4:$G$8,2,FALSE)</f>
        <v>1710.4666351575952</v>
      </c>
      <c r="H52" s="75">
        <f t="shared" si="4"/>
        <v>733.05712935325482</v>
      </c>
      <c r="I52" s="11">
        <f>I51*(1+VLOOKUP(I$6,Data!$A$3:$G$8,6,0))^(1/12)</f>
        <v>9380.9805070583843</v>
      </c>
      <c r="J52" s="59">
        <f>I52*VLOOKUP(I$6,Data!$A$4:$G$8,3,FALSE)</f>
        <v>2814.2941521175153</v>
      </c>
      <c r="K52" s="37">
        <f>VLOOKUP(I$6,Data!$A$3:$G$8,5,FALSE)</f>
        <v>0.06</v>
      </c>
      <c r="L52" s="58">
        <f t="shared" si="5"/>
        <v>562.85883042350304</v>
      </c>
      <c r="M52" s="75">
        <f>L52*VLOOKUP(I$6,Data!$A$4:$G$8,2,FALSE)</f>
        <v>3377.152982541018</v>
      </c>
      <c r="N52" s="75">
        <f t="shared" si="6"/>
        <v>-562.8588304235027</v>
      </c>
      <c r="O52" s="11">
        <f>O51*(1+VLOOKUP(O$6,Data!$A$3:$G$8,6,0))^(1/12)</f>
        <v>9190.7300355478219</v>
      </c>
      <c r="P52" s="59">
        <f>O52*VLOOKUP(O$6,Data!$A$4:$G$8,3,FALSE)</f>
        <v>9190.7300355478219</v>
      </c>
      <c r="Q52" s="37">
        <f>VLOOKUP(O$6,Data!$A$3:$G$8,5,FALSE)</f>
        <v>0.05</v>
      </c>
      <c r="R52" s="58">
        <f t="shared" si="7"/>
        <v>459.53650177739109</v>
      </c>
      <c r="S52" s="75">
        <f>R52*VLOOKUP(O$6,Data!$A$4:$G$8,2,FALSE)</f>
        <v>3446.5237633304332</v>
      </c>
      <c r="T52" s="75">
        <f t="shared" si="8"/>
        <v>5744.2062722173887</v>
      </c>
      <c r="U52" s="11">
        <f>U51*(1+VLOOKUP(U$6,Data!$A$3:$G$8,6,0))^(1/12)</f>
        <v>11403.110901050639</v>
      </c>
      <c r="V52" s="59">
        <f>U52*VLOOKUP(U$6,Data!$A$4:$G$8,3,FALSE)</f>
        <v>28507.777252626598</v>
      </c>
      <c r="W52" s="37">
        <f>VLOOKUP(U$6,Data!$A$3:$G$8,5,FALSE)</f>
        <v>7.0000000000000007E-2</v>
      </c>
      <c r="X52" s="58">
        <f t="shared" si="9"/>
        <v>798.2177630735448</v>
      </c>
      <c r="Y52" s="75">
        <f>X52*VLOOKUP(U$6,Data!$A$4:$G$8,2,FALSE)</f>
        <v>6784.8509861251305</v>
      </c>
      <c r="Z52" s="82">
        <f t="shared" si="10"/>
        <v>21722.926266501468</v>
      </c>
      <c r="AA52" s="11">
        <f>AA51*(1+VLOOKUP(AA$6,Data!$A$3:$G$8,6,0))^(1/12)</f>
        <v>11084.459271532698</v>
      </c>
      <c r="AB52" s="59">
        <f>AA52*VLOOKUP(AA$6,Data!$A$4:$G$8,3,FALSE)</f>
        <v>30482.262996714919</v>
      </c>
      <c r="AC52" s="37">
        <f>VLOOKUP(AA$6,Data!$A$3:$G$8,5,FALSE)</f>
        <v>0.08</v>
      </c>
      <c r="AD52" s="58">
        <f t="shared" si="11"/>
        <v>886.75674172261586</v>
      </c>
      <c r="AE52" s="75">
        <f>AD52*VLOOKUP(AA$6,Data!$A$4:$G$8,2,FALSE)</f>
        <v>8867.5674172261588</v>
      </c>
      <c r="AF52" s="82">
        <f t="shared" si="12"/>
        <v>21614.695579488762</v>
      </c>
      <c r="AG52" s="61">
        <f t="shared" si="13"/>
        <v>49252.026417137371</v>
      </c>
      <c r="AH52" s="60">
        <f t="shared" si="15"/>
        <v>35000</v>
      </c>
      <c r="AI52" s="60">
        <f t="shared" si="14"/>
        <v>14252.026417137371</v>
      </c>
      <c r="AJ52" s="62">
        <f t="shared" si="16"/>
        <v>1119916.6096023119</v>
      </c>
    </row>
    <row r="53" spans="1:36" x14ac:dyDescent="0.25">
      <c r="A53" s="2">
        <v>46</v>
      </c>
      <c r="B53" s="36">
        <f t="shared" si="2"/>
        <v>4</v>
      </c>
      <c r="C53" s="11">
        <f>C52*(1+VLOOKUP(C$6,Data!$A$3:$G$8,6,0))^(1/12)</f>
        <v>4895.1188853422273</v>
      </c>
      <c r="D53" s="59">
        <f>C53*VLOOKUP(C$6,Data!$A$4:$G$8,3,FALSE)</f>
        <v>2447.5594426711136</v>
      </c>
      <c r="E53" s="37">
        <f>VLOOKUP(C$6,Data!$A$3:$G$8,5,FALSE)</f>
        <v>7.0000000000000007E-2</v>
      </c>
      <c r="F53" s="58">
        <f t="shared" si="3"/>
        <v>342.65832197395594</v>
      </c>
      <c r="G53" s="75">
        <f>F53*VLOOKUP(C$6,Data!$A$4:$G$8,2,FALSE)</f>
        <v>1713.2916098697797</v>
      </c>
      <c r="H53" s="75">
        <f t="shared" si="4"/>
        <v>734.26783280133395</v>
      </c>
      <c r="I53" s="11">
        <f>I52*(1+VLOOKUP(I$6,Data!$A$3:$G$8,6,0))^(1/12)</f>
        <v>9388.7623879389284</v>
      </c>
      <c r="J53" s="59">
        <f>I53*VLOOKUP(I$6,Data!$A$4:$G$8,3,FALSE)</f>
        <v>2816.6287163816783</v>
      </c>
      <c r="K53" s="37">
        <f>VLOOKUP(I$6,Data!$A$3:$G$8,5,FALSE)</f>
        <v>0.06</v>
      </c>
      <c r="L53" s="58">
        <f t="shared" si="5"/>
        <v>563.32574327633563</v>
      </c>
      <c r="M53" s="75">
        <f>L53*VLOOKUP(I$6,Data!$A$4:$G$8,2,FALSE)</f>
        <v>3379.9544596580135</v>
      </c>
      <c r="N53" s="75">
        <f t="shared" si="6"/>
        <v>-563.32574327633529</v>
      </c>
      <c r="O53" s="11">
        <f>O52*(1+VLOOKUP(O$6,Data!$A$3:$G$8,6,0))^(1/12)</f>
        <v>9228.1742073747391</v>
      </c>
      <c r="P53" s="59">
        <f>O53*VLOOKUP(O$6,Data!$A$4:$G$8,3,FALSE)</f>
        <v>9228.1742073747391</v>
      </c>
      <c r="Q53" s="37">
        <f>VLOOKUP(O$6,Data!$A$3:$G$8,5,FALSE)</f>
        <v>0.05</v>
      </c>
      <c r="R53" s="58">
        <f t="shared" si="7"/>
        <v>461.40871036873699</v>
      </c>
      <c r="S53" s="75">
        <f>R53*VLOOKUP(O$6,Data!$A$4:$G$8,2,FALSE)</f>
        <v>3460.5653277655274</v>
      </c>
      <c r="T53" s="75">
        <f t="shared" si="8"/>
        <v>5767.6088796092117</v>
      </c>
      <c r="U53" s="11">
        <f>U52*(1+VLOOKUP(U$6,Data!$A$3:$G$8,6,0))^(1/12)</f>
        <v>11421.944065798536</v>
      </c>
      <c r="V53" s="59">
        <f>U53*VLOOKUP(U$6,Data!$A$4:$G$8,3,FALSE)</f>
        <v>28554.860164496342</v>
      </c>
      <c r="W53" s="37">
        <f>VLOOKUP(U$6,Data!$A$3:$G$8,5,FALSE)</f>
        <v>7.0000000000000007E-2</v>
      </c>
      <c r="X53" s="58">
        <f t="shared" si="9"/>
        <v>799.5360846058976</v>
      </c>
      <c r="Y53" s="75">
        <f>X53*VLOOKUP(U$6,Data!$A$4:$G$8,2,FALSE)</f>
        <v>6796.0567191501295</v>
      </c>
      <c r="Z53" s="82">
        <f t="shared" si="10"/>
        <v>21758.803445346213</v>
      </c>
      <c r="AA53" s="11">
        <f>AA52*(1+VLOOKUP(AA$6,Data!$A$3:$G$8,6,0))^(1/12)</f>
        <v>11111.796538376411</v>
      </c>
      <c r="AB53" s="59">
        <f>AA53*VLOOKUP(AA$6,Data!$A$4:$G$8,3,FALSE)</f>
        <v>30557.44048053513</v>
      </c>
      <c r="AC53" s="37">
        <f>VLOOKUP(AA$6,Data!$A$3:$G$8,5,FALSE)</f>
        <v>0.08</v>
      </c>
      <c r="AD53" s="58">
        <f t="shared" si="11"/>
        <v>888.94372307011292</v>
      </c>
      <c r="AE53" s="75">
        <f>AD53*VLOOKUP(AA$6,Data!$A$4:$G$8,2,FALSE)</f>
        <v>8889.437230701129</v>
      </c>
      <c r="AF53" s="82">
        <f t="shared" si="12"/>
        <v>21668.003249834001</v>
      </c>
      <c r="AG53" s="61">
        <f t="shared" si="13"/>
        <v>49365.357664314426</v>
      </c>
      <c r="AH53" s="60">
        <f t="shared" si="15"/>
        <v>35000</v>
      </c>
      <c r="AI53" s="60">
        <f t="shared" si="14"/>
        <v>14365.357664314426</v>
      </c>
      <c r="AJ53" s="62">
        <f t="shared" si="16"/>
        <v>1112434.3884041798</v>
      </c>
    </row>
    <row r="54" spans="1:36" x14ac:dyDescent="0.25">
      <c r="A54" s="2">
        <v>47</v>
      </c>
      <c r="B54" s="36">
        <f t="shared" si="2"/>
        <v>4</v>
      </c>
      <c r="C54" s="11">
        <f>C53*(1+VLOOKUP(C$6,Data!$A$3:$G$8,6,0))^(1/12)</f>
        <v>4903.203572163935</v>
      </c>
      <c r="D54" s="59">
        <f>C54*VLOOKUP(C$6,Data!$A$4:$G$8,3,FALSE)</f>
        <v>2451.6017860819675</v>
      </c>
      <c r="E54" s="37">
        <f>VLOOKUP(C$6,Data!$A$3:$G$8,5,FALSE)</f>
        <v>7.0000000000000007E-2</v>
      </c>
      <c r="F54" s="58">
        <f t="shared" si="3"/>
        <v>343.22425005147545</v>
      </c>
      <c r="G54" s="75">
        <f>F54*VLOOKUP(C$6,Data!$A$4:$G$8,2,FALSE)</f>
        <v>1716.1212502573771</v>
      </c>
      <c r="H54" s="75">
        <f t="shared" si="4"/>
        <v>735.48053582459033</v>
      </c>
      <c r="I54" s="11">
        <f>I53*(1+VLOOKUP(I$6,Data!$A$3:$G$8,6,0))^(1/12)</f>
        <v>9396.5507241862633</v>
      </c>
      <c r="J54" s="59">
        <f>I54*VLOOKUP(I$6,Data!$A$4:$G$8,3,FALSE)</f>
        <v>2818.965217255879</v>
      </c>
      <c r="K54" s="37">
        <f>VLOOKUP(I$6,Data!$A$3:$G$8,5,FALSE)</f>
        <v>0.06</v>
      </c>
      <c r="L54" s="58">
        <f t="shared" si="5"/>
        <v>563.79304345117578</v>
      </c>
      <c r="M54" s="75">
        <f>L54*VLOOKUP(I$6,Data!$A$4:$G$8,2,FALSE)</f>
        <v>3382.7582607070544</v>
      </c>
      <c r="N54" s="75">
        <f t="shared" si="6"/>
        <v>-563.79304345117544</v>
      </c>
      <c r="O54" s="11">
        <f>O53*(1+VLOOKUP(O$6,Data!$A$3:$G$8,6,0))^(1/12)</f>
        <v>9265.7709313926553</v>
      </c>
      <c r="P54" s="59">
        <f>O54*VLOOKUP(O$6,Data!$A$4:$G$8,3,FALSE)</f>
        <v>9265.7709313926553</v>
      </c>
      <c r="Q54" s="37">
        <f>VLOOKUP(O$6,Data!$A$3:$G$8,5,FALSE)</f>
        <v>0.05</v>
      </c>
      <c r="R54" s="58">
        <f t="shared" si="7"/>
        <v>463.28854656963279</v>
      </c>
      <c r="S54" s="75">
        <f>R54*VLOOKUP(O$6,Data!$A$4:$G$8,2,FALSE)</f>
        <v>3474.6640992722459</v>
      </c>
      <c r="T54" s="75">
        <f t="shared" si="8"/>
        <v>5791.1068321204093</v>
      </c>
      <c r="U54" s="11">
        <f>U53*(1+VLOOKUP(U$6,Data!$A$3:$G$8,6,0))^(1/12)</f>
        <v>11440.808335049187</v>
      </c>
      <c r="V54" s="59">
        <f>U54*VLOOKUP(U$6,Data!$A$4:$G$8,3,FALSE)</f>
        <v>28602.020837622968</v>
      </c>
      <c r="W54" s="37">
        <f>VLOOKUP(U$6,Data!$A$3:$G$8,5,FALSE)</f>
        <v>7.0000000000000007E-2</v>
      </c>
      <c r="X54" s="58">
        <f t="shared" si="9"/>
        <v>800.85658345344314</v>
      </c>
      <c r="Y54" s="75">
        <f>X54*VLOOKUP(U$6,Data!$A$4:$G$8,2,FALSE)</f>
        <v>6807.280959354267</v>
      </c>
      <c r="Z54" s="82">
        <f t="shared" si="10"/>
        <v>21794.739878268701</v>
      </c>
      <c r="AA54" s="11">
        <f>AA53*(1+VLOOKUP(AA$6,Data!$A$3:$G$8,6,0))^(1/12)</f>
        <v>11139.201226294997</v>
      </c>
      <c r="AB54" s="59">
        <f>AA54*VLOOKUP(AA$6,Data!$A$4:$G$8,3,FALSE)</f>
        <v>30632.803372311242</v>
      </c>
      <c r="AC54" s="37">
        <f>VLOOKUP(AA$6,Data!$A$3:$G$8,5,FALSE)</f>
        <v>0.08</v>
      </c>
      <c r="AD54" s="58">
        <f t="shared" si="11"/>
        <v>891.13609810359981</v>
      </c>
      <c r="AE54" s="75">
        <f>AD54*VLOOKUP(AA$6,Data!$A$4:$G$8,2,FALSE)</f>
        <v>8911.3609810359976</v>
      </c>
      <c r="AF54" s="82">
        <f t="shared" si="12"/>
        <v>21721.442391275246</v>
      </c>
      <c r="AG54" s="61">
        <f t="shared" si="13"/>
        <v>49478.976594037769</v>
      </c>
      <c r="AH54" s="60">
        <f t="shared" si="15"/>
        <v>35000</v>
      </c>
      <c r="AI54" s="60">
        <f t="shared" si="14"/>
        <v>14478.976594037769</v>
      </c>
      <c r="AJ54" s="62">
        <f t="shared" si="16"/>
        <v>1104793.6065376063</v>
      </c>
    </row>
    <row r="55" spans="1:36" x14ac:dyDescent="0.25">
      <c r="A55" s="2">
        <v>48</v>
      </c>
      <c r="B55" s="36">
        <f t="shared" si="2"/>
        <v>4</v>
      </c>
      <c r="C55" s="11">
        <f>C54*(1+VLOOKUP(C$6,Data!$A$3:$G$8,6,0))^(1/12)</f>
        <v>4911.3016115032297</v>
      </c>
      <c r="D55" s="59">
        <f>C55*VLOOKUP(C$6,Data!$A$4:$G$8,3,FALSE)</f>
        <v>2455.6508057516148</v>
      </c>
      <c r="E55" s="37">
        <f>VLOOKUP(C$6,Data!$A$3:$G$8,5,FALSE)</f>
        <v>7.0000000000000007E-2</v>
      </c>
      <c r="F55" s="58">
        <f t="shared" si="3"/>
        <v>343.79111280522613</v>
      </c>
      <c r="G55" s="75">
        <f>F55*VLOOKUP(C$6,Data!$A$4:$G$8,2,FALSE)</f>
        <v>1718.9555640261306</v>
      </c>
      <c r="H55" s="75">
        <f t="shared" si="4"/>
        <v>736.69524172548427</v>
      </c>
      <c r="I55" s="11">
        <f>I54*(1+VLOOKUP(I$6,Data!$A$3:$G$8,6,0))^(1/12)</f>
        <v>9404.3455211553628</v>
      </c>
      <c r="J55" s="59">
        <f>I55*VLOOKUP(I$6,Data!$A$4:$G$8,3,FALSE)</f>
        <v>2821.3036563466089</v>
      </c>
      <c r="K55" s="37">
        <f>VLOOKUP(I$6,Data!$A$3:$G$8,5,FALSE)</f>
        <v>0.06</v>
      </c>
      <c r="L55" s="58">
        <f t="shared" si="5"/>
        <v>564.2607312693217</v>
      </c>
      <c r="M55" s="75">
        <f>L55*VLOOKUP(I$6,Data!$A$4:$G$8,2,FALSE)</f>
        <v>3385.5643876159302</v>
      </c>
      <c r="N55" s="75">
        <f t="shared" si="6"/>
        <v>-564.26073126932124</v>
      </c>
      <c r="O55" s="11">
        <f>O54*(1+VLOOKUP(O$6,Data!$A$3:$G$8,6,0))^(1/12)</f>
        <v>9303.5208291180788</v>
      </c>
      <c r="P55" s="59">
        <f>O55*VLOOKUP(O$6,Data!$A$4:$G$8,3,FALSE)</f>
        <v>9303.5208291180788</v>
      </c>
      <c r="Q55" s="37">
        <f>VLOOKUP(O$6,Data!$A$3:$G$8,5,FALSE)</f>
        <v>0.05</v>
      </c>
      <c r="R55" s="58">
        <f t="shared" si="7"/>
        <v>465.17604145590394</v>
      </c>
      <c r="S55" s="75">
        <f>R55*VLOOKUP(O$6,Data!$A$4:$G$8,2,FALSE)</f>
        <v>3488.8203109192796</v>
      </c>
      <c r="T55" s="75">
        <f t="shared" si="8"/>
        <v>5814.7005181987988</v>
      </c>
      <c r="U55" s="11">
        <f>U54*(1+VLOOKUP(U$6,Data!$A$3:$G$8,6,0))^(1/12)</f>
        <v>11459.703760174207</v>
      </c>
      <c r="V55" s="59">
        <f>U55*VLOOKUP(U$6,Data!$A$4:$G$8,3,FALSE)</f>
        <v>28649.259400435516</v>
      </c>
      <c r="W55" s="37">
        <f>VLOOKUP(U$6,Data!$A$3:$G$8,5,FALSE)</f>
        <v>7.0000000000000007E-2</v>
      </c>
      <c r="X55" s="58">
        <f t="shared" si="9"/>
        <v>802.17926321219454</v>
      </c>
      <c r="Y55" s="75">
        <f>X55*VLOOKUP(U$6,Data!$A$4:$G$8,2,FALSE)</f>
        <v>6818.5237373036534</v>
      </c>
      <c r="Z55" s="82">
        <f t="shared" si="10"/>
        <v>21830.735663131862</v>
      </c>
      <c r="AA55" s="11">
        <f>AA54*(1+VLOOKUP(AA$6,Data!$A$3:$G$8,6,0))^(1/12)</f>
        <v>11166.673501567017</v>
      </c>
      <c r="AB55" s="59">
        <f>AA55*VLOOKUP(AA$6,Data!$A$4:$G$8,3,FALSE)</f>
        <v>30708.352129309296</v>
      </c>
      <c r="AC55" s="37">
        <f>VLOOKUP(AA$6,Data!$A$3:$G$8,5,FALSE)</f>
        <v>0.08</v>
      </c>
      <c r="AD55" s="58">
        <f t="shared" si="11"/>
        <v>893.33388012536136</v>
      </c>
      <c r="AE55" s="75">
        <f>AD55*VLOOKUP(AA$6,Data!$A$4:$G$8,2,FALSE)</f>
        <v>8933.3388012536143</v>
      </c>
      <c r="AF55" s="82">
        <f t="shared" si="12"/>
        <v>21775.013328055684</v>
      </c>
      <c r="AG55" s="61">
        <f t="shared" si="13"/>
        <v>49592.88401984251</v>
      </c>
      <c r="AH55" s="60">
        <f t="shared" si="15"/>
        <v>35000</v>
      </c>
      <c r="AI55" s="60">
        <f t="shared" si="14"/>
        <v>14592.88401984251</v>
      </c>
      <c r="AJ55" s="62">
        <f t="shared" si="16"/>
        <v>1096993.0178336436</v>
      </c>
    </row>
    <row r="56" spans="1:36" x14ac:dyDescent="0.25">
      <c r="A56" s="2">
        <v>49</v>
      </c>
      <c r="B56" s="36">
        <f t="shared" si="2"/>
        <v>5</v>
      </c>
      <c r="C56" s="11">
        <f>C55*(1+VLOOKUP(C$6,Data!$A$3:$G$8,6,0))^(1/12)</f>
        <v>4919.4130254128786</v>
      </c>
      <c r="D56" s="59">
        <f>C56*VLOOKUP(C$6,Data!$A$4:$G$8,3,FALSE)</f>
        <v>2459.7065127064393</v>
      </c>
      <c r="E56" s="37">
        <f>VLOOKUP(C$6,Data!$A$3:$G$8,5,FALSE)</f>
        <v>7.0000000000000007E-2</v>
      </c>
      <c r="F56" s="58">
        <f t="shared" si="3"/>
        <v>344.35891177890153</v>
      </c>
      <c r="G56" s="75">
        <f>F56*VLOOKUP(C$6,Data!$A$4:$G$8,2,FALSE)</f>
        <v>1721.7945588945076</v>
      </c>
      <c r="H56" s="75">
        <f t="shared" si="4"/>
        <v>737.91195381193165</v>
      </c>
      <c r="I56" s="11">
        <f>I55*(1+VLOOKUP(I$6,Data!$A$3:$G$8,6,0))^(1/12)</f>
        <v>9412.1467842056427</v>
      </c>
      <c r="J56" s="59">
        <f>I56*VLOOKUP(I$6,Data!$A$4:$G$8,3,FALSE)</f>
        <v>2823.6440352616928</v>
      </c>
      <c r="K56" s="37">
        <f>VLOOKUP(I$6,Data!$A$3:$G$8,5,FALSE)</f>
        <v>0.06</v>
      </c>
      <c r="L56" s="58">
        <f t="shared" si="5"/>
        <v>564.72880705233854</v>
      </c>
      <c r="M56" s="75">
        <f>L56*VLOOKUP(I$6,Data!$A$4:$G$8,2,FALSE)</f>
        <v>3388.372842314031</v>
      </c>
      <c r="N56" s="75">
        <f t="shared" si="6"/>
        <v>-564.7288070523382</v>
      </c>
      <c r="O56" s="11">
        <f>O55*(1+VLOOKUP(O$6,Data!$A$3:$G$8,6,0))^(1/12)</f>
        <v>9341.4245245996572</v>
      </c>
      <c r="P56" s="59">
        <f>O56*VLOOKUP(O$6,Data!$A$4:$G$8,3,FALSE)</f>
        <v>9341.4245245996572</v>
      </c>
      <c r="Q56" s="37">
        <f>VLOOKUP(O$6,Data!$A$3:$G$8,5,FALSE)</f>
        <v>0.05</v>
      </c>
      <c r="R56" s="58">
        <f t="shared" si="7"/>
        <v>467.07122622998287</v>
      </c>
      <c r="S56" s="75">
        <f>R56*VLOOKUP(O$6,Data!$A$4:$G$8,2,FALSE)</f>
        <v>3503.0341967248714</v>
      </c>
      <c r="T56" s="75">
        <f t="shared" si="8"/>
        <v>5838.3903278747857</v>
      </c>
      <c r="U56" s="11">
        <f>U55*(1+VLOOKUP(U$6,Data!$A$3:$G$8,6,0))^(1/12)</f>
        <v>11478.630392630055</v>
      </c>
      <c r="V56" s="59">
        <f>U56*VLOOKUP(U$6,Data!$A$4:$G$8,3,FALSE)</f>
        <v>28696.575981575137</v>
      </c>
      <c r="W56" s="37">
        <f>VLOOKUP(U$6,Data!$A$3:$G$8,5,FALSE)</f>
        <v>7.0000000000000007E-2</v>
      </c>
      <c r="X56" s="58">
        <f t="shared" si="9"/>
        <v>803.50412748410395</v>
      </c>
      <c r="Y56" s="75">
        <f>X56*VLOOKUP(U$6,Data!$A$4:$G$8,2,FALSE)</f>
        <v>6829.7850836148837</v>
      </c>
      <c r="Z56" s="82">
        <f t="shared" si="10"/>
        <v>21866.790897960254</v>
      </c>
      <c r="AA56" s="11">
        <f>AA55*(1+VLOOKUP(AA$6,Data!$A$3:$G$8,6,0))^(1/12)</f>
        <v>11194.213530881116</v>
      </c>
      <c r="AB56" s="59">
        <f>AA56*VLOOKUP(AA$6,Data!$A$4:$G$8,3,FALSE)</f>
        <v>30784.087209923069</v>
      </c>
      <c r="AC56" s="37">
        <f>VLOOKUP(AA$6,Data!$A$3:$G$8,5,FALSE)</f>
        <v>0.08</v>
      </c>
      <c r="AD56" s="58">
        <f t="shared" si="11"/>
        <v>895.53708247048928</v>
      </c>
      <c r="AE56" s="75">
        <f>AD56*VLOOKUP(AA$6,Data!$A$4:$G$8,2,FALSE)</f>
        <v>8955.3708247048926</v>
      </c>
      <c r="AF56" s="82">
        <f t="shared" si="12"/>
        <v>21828.716385218177</v>
      </c>
      <c r="AG56" s="61">
        <f t="shared" si="13"/>
        <v>49707.080757812808</v>
      </c>
      <c r="AH56" s="60">
        <f t="shared" si="15"/>
        <v>35000</v>
      </c>
      <c r="AI56" s="60">
        <f t="shared" si="14"/>
        <v>14707.080757812808</v>
      </c>
      <c r="AJ56" s="62">
        <f t="shared" si="16"/>
        <v>1089031.3677768188</v>
      </c>
    </row>
    <row r="57" spans="1:36" x14ac:dyDescent="0.25">
      <c r="A57" s="2">
        <v>50</v>
      </c>
      <c r="B57" s="36">
        <f t="shared" si="2"/>
        <v>5</v>
      </c>
      <c r="C57" s="11">
        <f>C56*(1+VLOOKUP(C$6,Data!$A$3:$G$8,6,0))^(1/12)</f>
        <v>4927.5378359820734</v>
      </c>
      <c r="D57" s="59">
        <f>C57*VLOOKUP(C$6,Data!$A$4:$G$8,3,FALSE)</f>
        <v>2463.7689179910367</v>
      </c>
      <c r="E57" s="37">
        <f>VLOOKUP(C$6,Data!$A$3:$G$8,5,FALSE)</f>
        <v>7.0000000000000007E-2</v>
      </c>
      <c r="F57" s="58">
        <f t="shared" si="3"/>
        <v>344.92764851874517</v>
      </c>
      <c r="G57" s="75">
        <f>F57*VLOOKUP(C$6,Data!$A$4:$G$8,2,FALSE)</f>
        <v>1724.6382425937259</v>
      </c>
      <c r="H57" s="75">
        <f t="shared" si="4"/>
        <v>739.13067539731082</v>
      </c>
      <c r="I57" s="11">
        <f>I56*(1+VLOOKUP(I$6,Data!$A$3:$G$8,6,0))^(1/12)</f>
        <v>9419.9545187009626</v>
      </c>
      <c r="J57" s="59">
        <f>I57*VLOOKUP(I$6,Data!$A$4:$G$8,3,FALSE)</f>
        <v>2825.9863556102887</v>
      </c>
      <c r="K57" s="37">
        <f>VLOOKUP(I$6,Data!$A$3:$G$8,5,FALSE)</f>
        <v>0.06</v>
      </c>
      <c r="L57" s="58">
        <f t="shared" si="5"/>
        <v>565.19727112205771</v>
      </c>
      <c r="M57" s="75">
        <f>L57*VLOOKUP(I$6,Data!$A$4:$G$8,2,FALSE)</f>
        <v>3391.1836267323461</v>
      </c>
      <c r="N57" s="75">
        <f t="shared" si="6"/>
        <v>-565.19727112205737</v>
      </c>
      <c r="O57" s="11">
        <f>O56*(1+VLOOKUP(O$6,Data!$A$3:$G$8,6,0))^(1/12)</f>
        <v>9379.4826444284845</v>
      </c>
      <c r="P57" s="59">
        <f>O57*VLOOKUP(O$6,Data!$A$4:$G$8,3,FALSE)</f>
        <v>9379.4826444284845</v>
      </c>
      <c r="Q57" s="37">
        <f>VLOOKUP(O$6,Data!$A$3:$G$8,5,FALSE)</f>
        <v>0.05</v>
      </c>
      <c r="R57" s="58">
        <f t="shared" si="7"/>
        <v>468.97413222142427</v>
      </c>
      <c r="S57" s="75">
        <f>R57*VLOOKUP(O$6,Data!$A$4:$G$8,2,FALSE)</f>
        <v>3517.3059916606821</v>
      </c>
      <c r="T57" s="75">
        <f t="shared" si="8"/>
        <v>5862.1766527678028</v>
      </c>
      <c r="U57" s="11">
        <f>U56*(1+VLOOKUP(U$6,Data!$A$3:$G$8,6,0))^(1/12)</f>
        <v>11497.588283958175</v>
      </c>
      <c r="V57" s="59">
        <f>U57*VLOOKUP(U$6,Data!$A$4:$G$8,3,FALSE)</f>
        <v>28743.970709895439</v>
      </c>
      <c r="W57" s="37">
        <f>VLOOKUP(U$6,Data!$A$3:$G$8,5,FALSE)</f>
        <v>7.0000000000000007E-2</v>
      </c>
      <c r="X57" s="58">
        <f t="shared" si="9"/>
        <v>804.83117987707237</v>
      </c>
      <c r="Y57" s="75">
        <f>X57*VLOOKUP(U$6,Data!$A$4:$G$8,2,FALSE)</f>
        <v>6841.0650289551149</v>
      </c>
      <c r="Z57" s="82">
        <f t="shared" si="10"/>
        <v>21902.905680940323</v>
      </c>
      <c r="AA57" s="11">
        <f>AA56*(1+VLOOKUP(AA$6,Data!$A$3:$G$8,6,0))^(1/12)</f>
        <v>11221.821481337041</v>
      </c>
      <c r="AB57" s="59">
        <f>AA57*VLOOKUP(AA$6,Data!$A$4:$G$8,3,FALSE)</f>
        <v>30860.009073676865</v>
      </c>
      <c r="AC57" s="37">
        <f>VLOOKUP(AA$6,Data!$A$3:$G$8,5,FALSE)</f>
        <v>0.08</v>
      </c>
      <c r="AD57" s="58">
        <f t="shared" si="11"/>
        <v>897.74571850696339</v>
      </c>
      <c r="AE57" s="75">
        <f>AD57*VLOOKUP(AA$6,Data!$A$4:$G$8,2,FALSE)</f>
        <v>8977.4571850696339</v>
      </c>
      <c r="AF57" s="82">
        <f t="shared" si="12"/>
        <v>21882.551888607231</v>
      </c>
      <c r="AG57" s="61">
        <f t="shared" si="13"/>
        <v>49821.567626590608</v>
      </c>
      <c r="AH57" s="60">
        <f t="shared" si="15"/>
        <v>35000</v>
      </c>
      <c r="AI57" s="60">
        <f t="shared" si="14"/>
        <v>14821.567626590608</v>
      </c>
      <c r="AJ57" s="62">
        <f t="shared" si="16"/>
        <v>1080907.3934521305</v>
      </c>
    </row>
    <row r="58" spans="1:36" x14ac:dyDescent="0.25">
      <c r="A58" s="2">
        <v>51</v>
      </c>
      <c r="B58" s="36">
        <f t="shared" si="2"/>
        <v>5</v>
      </c>
      <c r="C58" s="11">
        <f>C57*(1+VLOOKUP(C$6,Data!$A$3:$G$8,6,0))^(1/12)</f>
        <v>4935.6760653364854</v>
      </c>
      <c r="D58" s="59">
        <f>C58*VLOOKUP(C$6,Data!$A$4:$G$8,3,FALSE)</f>
        <v>2467.8380326682427</v>
      </c>
      <c r="E58" s="37">
        <f>VLOOKUP(C$6,Data!$A$3:$G$8,5,FALSE)</f>
        <v>7.0000000000000007E-2</v>
      </c>
      <c r="F58" s="58">
        <f t="shared" si="3"/>
        <v>345.49732457355401</v>
      </c>
      <c r="G58" s="75">
        <f>F58*VLOOKUP(C$6,Data!$A$4:$G$8,2,FALSE)</f>
        <v>1727.4866228677702</v>
      </c>
      <c r="H58" s="75">
        <f t="shared" si="4"/>
        <v>740.35140980047254</v>
      </c>
      <c r="I58" s="11">
        <f>I57*(1+VLOOKUP(I$6,Data!$A$3:$G$8,6,0))^(1/12)</f>
        <v>9427.7687300096331</v>
      </c>
      <c r="J58" s="59">
        <f>I58*VLOOKUP(I$6,Data!$A$4:$G$8,3,FALSE)</f>
        <v>2828.3306190028898</v>
      </c>
      <c r="K58" s="37">
        <f>VLOOKUP(I$6,Data!$A$3:$G$8,5,FALSE)</f>
        <v>0.06</v>
      </c>
      <c r="L58" s="58">
        <f t="shared" si="5"/>
        <v>565.66612380057802</v>
      </c>
      <c r="M58" s="75">
        <f>L58*VLOOKUP(I$6,Data!$A$4:$G$8,2,FALSE)</f>
        <v>3393.9967428034679</v>
      </c>
      <c r="N58" s="75">
        <f t="shared" si="6"/>
        <v>-565.66612380057813</v>
      </c>
      <c r="O58" s="11">
        <f>O57*(1+VLOOKUP(O$6,Data!$A$3:$G$8,6,0))^(1/12)</f>
        <v>9417.6958177484667</v>
      </c>
      <c r="P58" s="59">
        <f>O58*VLOOKUP(O$6,Data!$A$4:$G$8,3,FALSE)</f>
        <v>9417.6958177484667</v>
      </c>
      <c r="Q58" s="37">
        <f>VLOOKUP(O$6,Data!$A$3:$G$8,5,FALSE)</f>
        <v>0.05</v>
      </c>
      <c r="R58" s="58">
        <f t="shared" si="7"/>
        <v>470.88479088742338</v>
      </c>
      <c r="S58" s="75">
        <f>R58*VLOOKUP(O$6,Data!$A$4:$G$8,2,FALSE)</f>
        <v>3531.6359316556754</v>
      </c>
      <c r="T58" s="75">
        <f t="shared" si="8"/>
        <v>5886.0598860927912</v>
      </c>
      <c r="U58" s="11">
        <f>U57*(1+VLOOKUP(U$6,Data!$A$3:$G$8,6,0))^(1/12)</f>
        <v>11516.577485785137</v>
      </c>
      <c r="V58" s="59">
        <f>U58*VLOOKUP(U$6,Data!$A$4:$G$8,3,FALSE)</f>
        <v>28791.443714462843</v>
      </c>
      <c r="W58" s="37">
        <f>VLOOKUP(U$6,Data!$A$3:$G$8,5,FALSE)</f>
        <v>7.0000000000000007E-2</v>
      </c>
      <c r="X58" s="58">
        <f t="shared" si="9"/>
        <v>806.16042400495974</v>
      </c>
      <c r="Y58" s="75">
        <f>X58*VLOOKUP(U$6,Data!$A$4:$G$8,2,FALSE)</f>
        <v>6852.3636040421579</v>
      </c>
      <c r="Z58" s="82">
        <f t="shared" si="10"/>
        <v>21939.080110420684</v>
      </c>
      <c r="AA58" s="11">
        <f>AA57*(1+VLOOKUP(AA$6,Data!$A$3:$G$8,6,0))^(1/12)</f>
        <v>11249.497520446652</v>
      </c>
      <c r="AB58" s="59">
        <f>AA58*VLOOKUP(AA$6,Data!$A$4:$G$8,3,FALSE)</f>
        <v>30936.118181228292</v>
      </c>
      <c r="AC58" s="37">
        <f>VLOOKUP(AA$6,Data!$A$3:$G$8,5,FALSE)</f>
        <v>0.08</v>
      </c>
      <c r="AD58" s="58">
        <f t="shared" si="11"/>
        <v>899.95980163573222</v>
      </c>
      <c r="AE58" s="75">
        <f>AD58*VLOOKUP(AA$6,Data!$A$4:$G$8,2,FALSE)</f>
        <v>8999.5980163573222</v>
      </c>
      <c r="AF58" s="82">
        <f t="shared" si="12"/>
        <v>21936.52016487097</v>
      </c>
      <c r="AG58" s="61">
        <f t="shared" si="13"/>
        <v>49936.345447384338</v>
      </c>
      <c r="AH58" s="60">
        <f t="shared" si="15"/>
        <v>35000</v>
      </c>
      <c r="AI58" s="60">
        <f t="shared" si="14"/>
        <v>14936.345447384338</v>
      </c>
      <c r="AJ58" s="62">
        <f t="shared" si="16"/>
        <v>1072619.8234917163</v>
      </c>
    </row>
    <row r="59" spans="1:36" x14ac:dyDescent="0.25">
      <c r="A59" s="2">
        <v>52</v>
      </c>
      <c r="B59" s="36">
        <f t="shared" si="2"/>
        <v>5</v>
      </c>
      <c r="C59" s="11">
        <f>C58*(1+VLOOKUP(C$6,Data!$A$3:$G$8,6,0))^(1/12)</f>
        <v>4943.8277356383305</v>
      </c>
      <c r="D59" s="59">
        <f>C59*VLOOKUP(C$6,Data!$A$4:$G$8,3,FALSE)</f>
        <v>2471.9138678191653</v>
      </c>
      <c r="E59" s="37">
        <f>VLOOKUP(C$6,Data!$A$3:$G$8,5,FALSE)</f>
        <v>7.0000000000000007E-2</v>
      </c>
      <c r="F59" s="58">
        <f t="shared" si="3"/>
        <v>346.06794149468317</v>
      </c>
      <c r="G59" s="75">
        <f>F59*VLOOKUP(C$6,Data!$A$4:$G$8,2,FALSE)</f>
        <v>1730.3397074734157</v>
      </c>
      <c r="H59" s="75">
        <f t="shared" si="4"/>
        <v>741.57416034574953</v>
      </c>
      <c r="I59" s="11">
        <f>I58*(1+VLOOKUP(I$6,Data!$A$3:$G$8,6,0))^(1/12)</f>
        <v>9435.5894235044179</v>
      </c>
      <c r="J59" s="59">
        <f>I59*VLOOKUP(I$6,Data!$A$4:$G$8,3,FALSE)</f>
        <v>2830.6768270513253</v>
      </c>
      <c r="K59" s="37">
        <f>VLOOKUP(I$6,Data!$A$3:$G$8,5,FALSE)</f>
        <v>0.06</v>
      </c>
      <c r="L59" s="58">
        <f t="shared" si="5"/>
        <v>566.13536541026508</v>
      </c>
      <c r="M59" s="75">
        <f>L59*VLOOKUP(I$6,Data!$A$4:$G$8,2,FALSE)</f>
        <v>3396.8121924615907</v>
      </c>
      <c r="N59" s="75">
        <f t="shared" si="6"/>
        <v>-566.13536541026542</v>
      </c>
      <c r="O59" s="11">
        <f>O58*(1+VLOOKUP(O$6,Data!$A$3:$G$8,6,0))^(1/12)</f>
        <v>9456.064676266722</v>
      </c>
      <c r="P59" s="59">
        <f>O59*VLOOKUP(O$6,Data!$A$4:$G$8,3,FALSE)</f>
        <v>9456.064676266722</v>
      </c>
      <c r="Q59" s="37">
        <f>VLOOKUP(O$6,Data!$A$3:$G$8,5,FALSE)</f>
        <v>0.05</v>
      </c>
      <c r="R59" s="58">
        <f t="shared" si="7"/>
        <v>472.80323381333613</v>
      </c>
      <c r="S59" s="75">
        <f>R59*VLOOKUP(O$6,Data!$A$4:$G$8,2,FALSE)</f>
        <v>3546.024253600021</v>
      </c>
      <c r="T59" s="75">
        <f t="shared" si="8"/>
        <v>5910.0404226667015</v>
      </c>
      <c r="U59" s="11">
        <f>U58*(1+VLOOKUP(U$6,Data!$A$3:$G$8,6,0))^(1/12)</f>
        <v>11535.598049822776</v>
      </c>
      <c r="V59" s="59">
        <f>U59*VLOOKUP(U$6,Data!$A$4:$G$8,3,FALSE)</f>
        <v>28838.995124556939</v>
      </c>
      <c r="W59" s="37">
        <f>VLOOKUP(U$6,Data!$A$3:$G$8,5,FALSE)</f>
        <v>7.0000000000000007E-2</v>
      </c>
      <c r="X59" s="58">
        <f t="shared" si="9"/>
        <v>807.4918634875944</v>
      </c>
      <c r="Y59" s="75">
        <f>X59*VLOOKUP(U$6,Data!$A$4:$G$8,2,FALSE)</f>
        <v>6863.6808396445522</v>
      </c>
      <c r="Z59" s="82">
        <f t="shared" si="10"/>
        <v>21975.314284912387</v>
      </c>
      <c r="AA59" s="11">
        <f>AA58*(1+VLOOKUP(AA$6,Data!$A$3:$G$8,6,0))^(1/12)</f>
        <v>11277.241816134934</v>
      </c>
      <c r="AB59" s="59">
        <f>AA59*VLOOKUP(AA$6,Data!$A$4:$G$8,3,FALSE)</f>
        <v>31012.414994371069</v>
      </c>
      <c r="AC59" s="37">
        <f>VLOOKUP(AA$6,Data!$A$3:$G$8,5,FALSE)</f>
        <v>0.08</v>
      </c>
      <c r="AD59" s="58">
        <f t="shared" si="11"/>
        <v>902.1793452907948</v>
      </c>
      <c r="AE59" s="75">
        <f>AD59*VLOOKUP(AA$6,Data!$A$4:$G$8,2,FALSE)</f>
        <v>9021.7934529079484</v>
      </c>
      <c r="AF59" s="82">
        <f t="shared" si="12"/>
        <v>21990.621541463122</v>
      </c>
      <c r="AG59" s="61">
        <f t="shared" si="13"/>
        <v>50051.415043977693</v>
      </c>
      <c r="AH59" s="60">
        <f t="shared" si="15"/>
        <v>35000</v>
      </c>
      <c r="AI59" s="60">
        <f t="shared" si="14"/>
        <v>15051.415043977693</v>
      </c>
      <c r="AJ59" s="62">
        <f t="shared" si="16"/>
        <v>1064167.3780211895</v>
      </c>
    </row>
    <row r="60" spans="1:36" x14ac:dyDescent="0.25">
      <c r="A60" s="2">
        <v>53</v>
      </c>
      <c r="B60" s="36">
        <f t="shared" si="2"/>
        <v>5</v>
      </c>
      <c r="C60" s="11">
        <f>C59*(1+VLOOKUP(C$6,Data!$A$3:$G$8,6,0))^(1/12)</f>
        <v>4951.9928690864253</v>
      </c>
      <c r="D60" s="59">
        <f>C60*VLOOKUP(C$6,Data!$A$4:$G$8,3,FALSE)</f>
        <v>2475.9964345432127</v>
      </c>
      <c r="E60" s="37">
        <f>VLOOKUP(C$6,Data!$A$3:$G$8,5,FALSE)</f>
        <v>7.0000000000000007E-2</v>
      </c>
      <c r="F60" s="58">
        <f t="shared" si="3"/>
        <v>346.63950083604982</v>
      </c>
      <c r="G60" s="75">
        <f>F60*VLOOKUP(C$6,Data!$A$4:$G$8,2,FALSE)</f>
        <v>1733.1975041802491</v>
      </c>
      <c r="H60" s="75">
        <f t="shared" si="4"/>
        <v>742.79893036296357</v>
      </c>
      <c r="I60" s="11">
        <f>I59*(1+VLOOKUP(I$6,Data!$A$3:$G$8,6,0))^(1/12)</f>
        <v>9443.416604562537</v>
      </c>
      <c r="J60" s="59">
        <f>I60*VLOOKUP(I$6,Data!$A$4:$G$8,3,FALSE)</f>
        <v>2833.024981368761</v>
      </c>
      <c r="K60" s="37">
        <f>VLOOKUP(I$6,Data!$A$3:$G$8,5,FALSE)</f>
        <v>0.06</v>
      </c>
      <c r="L60" s="58">
        <f t="shared" si="5"/>
        <v>566.60499627375225</v>
      </c>
      <c r="M60" s="75">
        <f>L60*VLOOKUP(I$6,Data!$A$4:$G$8,2,FALSE)</f>
        <v>3399.6299776425135</v>
      </c>
      <c r="N60" s="75">
        <f t="shared" si="6"/>
        <v>-566.60499627375248</v>
      </c>
      <c r="O60" s="11">
        <f>O59*(1+VLOOKUP(O$6,Data!$A$3:$G$8,6,0))^(1/12)</f>
        <v>9494.589854264017</v>
      </c>
      <c r="P60" s="59">
        <f>O60*VLOOKUP(O$6,Data!$A$4:$G$8,3,FALSE)</f>
        <v>9494.589854264017</v>
      </c>
      <c r="Q60" s="37">
        <f>VLOOKUP(O$6,Data!$A$3:$G$8,5,FALSE)</f>
        <v>0.05</v>
      </c>
      <c r="R60" s="58">
        <f t="shared" si="7"/>
        <v>474.7294927132009</v>
      </c>
      <c r="S60" s="75">
        <f>R60*VLOOKUP(O$6,Data!$A$4:$G$8,2,FALSE)</f>
        <v>3560.4711953490068</v>
      </c>
      <c r="T60" s="75">
        <f t="shared" si="8"/>
        <v>5934.1186589150102</v>
      </c>
      <c r="U60" s="11">
        <f>U59*(1+VLOOKUP(U$6,Data!$A$3:$G$8,6,0))^(1/12)</f>
        <v>11554.650027868331</v>
      </c>
      <c r="V60" s="59">
        <f>U60*VLOOKUP(U$6,Data!$A$4:$G$8,3,FALSE)</f>
        <v>28886.625069670827</v>
      </c>
      <c r="W60" s="37">
        <f>VLOOKUP(U$6,Data!$A$3:$G$8,5,FALSE)</f>
        <v>7.0000000000000007E-2</v>
      </c>
      <c r="X60" s="58">
        <f t="shared" si="9"/>
        <v>808.82550195078318</v>
      </c>
      <c r="Y60" s="75">
        <f>X60*VLOOKUP(U$6,Data!$A$4:$G$8,2,FALSE)</f>
        <v>6875.0167665816571</v>
      </c>
      <c r="Z60" s="82">
        <f t="shared" si="10"/>
        <v>22011.608303089168</v>
      </c>
      <c r="AA60" s="11">
        <f>AA59*(1+VLOOKUP(AA$6,Data!$A$3:$G$8,6,0))^(1/12)</f>
        <v>11305.054536741027</v>
      </c>
      <c r="AB60" s="59">
        <f>AA60*VLOOKUP(AA$6,Data!$A$4:$G$8,3,FALSE)</f>
        <v>31088.899976037825</v>
      </c>
      <c r="AC60" s="37">
        <f>VLOOKUP(AA$6,Data!$A$3:$G$8,5,FALSE)</f>
        <v>0.08</v>
      </c>
      <c r="AD60" s="58">
        <f t="shared" si="11"/>
        <v>904.40436293928212</v>
      </c>
      <c r="AE60" s="75">
        <f>AD60*VLOOKUP(AA$6,Data!$A$4:$G$8,2,FALSE)</f>
        <v>9044.0436293928215</v>
      </c>
      <c r="AF60" s="82">
        <f t="shared" si="12"/>
        <v>22044.856346645003</v>
      </c>
      <c r="AG60" s="61">
        <f t="shared" si="13"/>
        <v>50166.77724273839</v>
      </c>
      <c r="AH60" s="60">
        <f t="shared" si="15"/>
        <v>35000</v>
      </c>
      <c r="AI60" s="60">
        <f t="shared" si="14"/>
        <v>15166.77724273839</v>
      </c>
      <c r="AJ60" s="62">
        <f t="shared" si="16"/>
        <v>1055548.7686056427</v>
      </c>
    </row>
    <row r="61" spans="1:36" x14ac:dyDescent="0.25">
      <c r="A61" s="2">
        <v>54</v>
      </c>
      <c r="B61" s="36">
        <f t="shared" si="2"/>
        <v>5</v>
      </c>
      <c r="C61" s="11">
        <f>C60*(1+VLOOKUP(C$6,Data!$A$3:$G$8,6,0))^(1/12)</f>
        <v>4960.171487916251</v>
      </c>
      <c r="D61" s="59">
        <f>C61*VLOOKUP(C$6,Data!$A$4:$G$8,3,FALSE)</f>
        <v>2480.0857439581255</v>
      </c>
      <c r="E61" s="37">
        <f>VLOOKUP(C$6,Data!$A$3:$G$8,5,FALSE)</f>
        <v>7.0000000000000007E-2</v>
      </c>
      <c r="F61" s="58">
        <f t="shared" si="3"/>
        <v>347.21200415413762</v>
      </c>
      <c r="G61" s="75">
        <f>F61*VLOOKUP(C$6,Data!$A$4:$G$8,2,FALSE)</f>
        <v>1736.060020770688</v>
      </c>
      <c r="H61" s="75">
        <f t="shared" si="4"/>
        <v>744.02572318743751</v>
      </c>
      <c r="I61" s="11">
        <f>I60*(1+VLOOKUP(I$6,Data!$A$3:$G$8,6,0))^(1/12)</f>
        <v>9451.2502785656707</v>
      </c>
      <c r="J61" s="59">
        <f>I61*VLOOKUP(I$6,Data!$A$4:$G$8,3,FALSE)</f>
        <v>2835.375083569701</v>
      </c>
      <c r="K61" s="37">
        <f>VLOOKUP(I$6,Data!$A$3:$G$8,5,FALSE)</f>
        <v>0.06</v>
      </c>
      <c r="L61" s="58">
        <f t="shared" si="5"/>
        <v>567.07501671394027</v>
      </c>
      <c r="M61" s="75">
        <f>L61*VLOOKUP(I$6,Data!$A$4:$G$8,2,FALSE)</f>
        <v>3402.4501002836414</v>
      </c>
      <c r="N61" s="75">
        <f t="shared" si="6"/>
        <v>-567.07501671394039</v>
      </c>
      <c r="O61" s="11">
        <f>O60*(1+VLOOKUP(O$6,Data!$A$3:$G$8,6,0))^(1/12)</f>
        <v>9533.27198860526</v>
      </c>
      <c r="P61" s="59">
        <f>O61*VLOOKUP(O$6,Data!$A$4:$G$8,3,FALSE)</f>
        <v>9533.27198860526</v>
      </c>
      <c r="Q61" s="37">
        <f>VLOOKUP(O$6,Data!$A$3:$G$8,5,FALSE)</f>
        <v>0.05</v>
      </c>
      <c r="R61" s="58">
        <f t="shared" si="7"/>
        <v>476.66359943026305</v>
      </c>
      <c r="S61" s="75">
        <f>R61*VLOOKUP(O$6,Data!$A$4:$G$8,2,FALSE)</f>
        <v>3574.9769957269727</v>
      </c>
      <c r="T61" s="75">
        <f t="shared" si="8"/>
        <v>5958.2949928782873</v>
      </c>
      <c r="U61" s="11">
        <f>U60*(1+VLOOKUP(U$6,Data!$A$3:$G$8,6,0))^(1/12)</f>
        <v>11573.733471804589</v>
      </c>
      <c r="V61" s="59">
        <f>U61*VLOOKUP(U$6,Data!$A$4:$G$8,3,FALSE)</f>
        <v>28934.333679511474</v>
      </c>
      <c r="W61" s="37">
        <f>VLOOKUP(U$6,Data!$A$3:$G$8,5,FALSE)</f>
        <v>7.0000000000000007E-2</v>
      </c>
      <c r="X61" s="58">
        <f t="shared" si="9"/>
        <v>810.16134302632133</v>
      </c>
      <c r="Y61" s="75">
        <f>X61*VLOOKUP(U$6,Data!$A$4:$G$8,2,FALSE)</f>
        <v>6886.3714157237309</v>
      </c>
      <c r="Z61" s="82">
        <f t="shared" si="10"/>
        <v>22047.962263787744</v>
      </c>
      <c r="AA61" s="11">
        <f>AA60*(1+VLOOKUP(AA$6,Data!$A$3:$G$8,6,0))^(1/12)</f>
        <v>11332.935851019236</v>
      </c>
      <c r="AB61" s="59">
        <f>AA61*VLOOKUP(AA$6,Data!$A$4:$G$8,3,FALSE)</f>
        <v>31165.573590302898</v>
      </c>
      <c r="AC61" s="37">
        <f>VLOOKUP(AA$6,Data!$A$3:$G$8,5,FALSE)</f>
        <v>0.08</v>
      </c>
      <c r="AD61" s="58">
        <f t="shared" si="11"/>
        <v>906.63486808153891</v>
      </c>
      <c r="AE61" s="75">
        <f>AD61*VLOOKUP(AA$6,Data!$A$4:$G$8,2,FALSE)</f>
        <v>9066.3486808153884</v>
      </c>
      <c r="AF61" s="82">
        <f t="shared" si="12"/>
        <v>22099.224909487508</v>
      </c>
      <c r="AG61" s="61">
        <f t="shared" si="13"/>
        <v>50282.432872627032</v>
      </c>
      <c r="AH61" s="60">
        <f t="shared" si="15"/>
        <v>35000</v>
      </c>
      <c r="AI61" s="60">
        <f t="shared" si="14"/>
        <v>15282.432872627032</v>
      </c>
      <c r="AJ61" s="62">
        <f t="shared" si="16"/>
        <v>1046762.6981953162</v>
      </c>
    </row>
    <row r="62" spans="1:36" x14ac:dyDescent="0.25">
      <c r="A62" s="2">
        <v>55</v>
      </c>
      <c r="B62" s="36">
        <f t="shared" si="2"/>
        <v>5</v>
      </c>
      <c r="C62" s="11">
        <f>C61*(1+VLOOKUP(C$6,Data!$A$3:$G$8,6,0))^(1/12)</f>
        <v>4968.3636144000111</v>
      </c>
      <c r="D62" s="59">
        <f>C62*VLOOKUP(C$6,Data!$A$4:$G$8,3,FALSE)</f>
        <v>2484.1818072000056</v>
      </c>
      <c r="E62" s="37">
        <f>VLOOKUP(C$6,Data!$A$3:$G$8,5,FALSE)</f>
        <v>7.0000000000000007E-2</v>
      </c>
      <c r="F62" s="58">
        <f t="shared" si="3"/>
        <v>347.78545300800079</v>
      </c>
      <c r="G62" s="75">
        <f>F62*VLOOKUP(C$6,Data!$A$4:$G$8,2,FALSE)</f>
        <v>1738.9272650400039</v>
      </c>
      <c r="H62" s="75">
        <f t="shared" si="4"/>
        <v>745.25454216000162</v>
      </c>
      <c r="I62" s="11">
        <f>I61*(1+VLOOKUP(I$6,Data!$A$3:$G$8,6,0))^(1/12)</f>
        <v>9459.0904508999665</v>
      </c>
      <c r="J62" s="59">
        <f>I62*VLOOKUP(I$6,Data!$A$4:$G$8,3,FALSE)</f>
        <v>2837.72713526999</v>
      </c>
      <c r="K62" s="37">
        <f>VLOOKUP(I$6,Data!$A$3:$G$8,5,FALSE)</f>
        <v>0.06</v>
      </c>
      <c r="L62" s="58">
        <f t="shared" si="5"/>
        <v>567.54542705399797</v>
      </c>
      <c r="M62" s="75">
        <f>L62*VLOOKUP(I$6,Data!$A$4:$G$8,2,FALSE)</f>
        <v>3405.2725623239876</v>
      </c>
      <c r="N62" s="75">
        <f t="shared" si="6"/>
        <v>-567.54542705399763</v>
      </c>
      <c r="O62" s="11">
        <f>O61*(1+VLOOKUP(O$6,Data!$A$3:$G$8,6,0))^(1/12)</f>
        <v>9572.1117187500258</v>
      </c>
      <c r="P62" s="59">
        <f>O62*VLOOKUP(O$6,Data!$A$4:$G$8,3,FALSE)</f>
        <v>9572.1117187500258</v>
      </c>
      <c r="Q62" s="37">
        <f>VLOOKUP(O$6,Data!$A$3:$G$8,5,FALSE)</f>
        <v>0.05</v>
      </c>
      <c r="R62" s="58">
        <f t="shared" si="7"/>
        <v>478.6055859375013</v>
      </c>
      <c r="S62" s="75">
        <f>R62*VLOOKUP(O$6,Data!$A$4:$G$8,2,FALSE)</f>
        <v>3589.5418945312599</v>
      </c>
      <c r="T62" s="75">
        <f t="shared" si="8"/>
        <v>5982.5698242187664</v>
      </c>
      <c r="U62" s="11">
        <f>U61*(1+VLOOKUP(U$6,Data!$A$3:$G$8,6,0))^(1/12)</f>
        <v>11592.848433600031</v>
      </c>
      <c r="V62" s="59">
        <f>U62*VLOOKUP(U$6,Data!$A$4:$G$8,3,FALSE)</f>
        <v>28982.121084000079</v>
      </c>
      <c r="W62" s="37">
        <f>VLOOKUP(U$6,Data!$A$3:$G$8,5,FALSE)</f>
        <v>7.0000000000000007E-2</v>
      </c>
      <c r="X62" s="58">
        <f t="shared" si="9"/>
        <v>811.49939035200225</v>
      </c>
      <c r="Y62" s="75">
        <f>X62*VLOOKUP(U$6,Data!$A$4:$G$8,2,FALSE)</f>
        <v>6897.7448179920193</v>
      </c>
      <c r="Z62" s="82">
        <f t="shared" si="10"/>
        <v>22084.376266008061</v>
      </c>
      <c r="AA62" s="11">
        <f>AA61*(1+VLOOKUP(AA$6,Data!$A$3:$G$8,6,0))^(1/12)</f>
        <v>11360.885928140062</v>
      </c>
      <c r="AB62" s="59">
        <f>AA62*VLOOKUP(AA$6,Data!$A$4:$G$8,3,FALSE)</f>
        <v>31242.436302385169</v>
      </c>
      <c r="AC62" s="37">
        <f>VLOOKUP(AA$6,Data!$A$3:$G$8,5,FALSE)</f>
        <v>0.08</v>
      </c>
      <c r="AD62" s="58">
        <f t="shared" si="11"/>
        <v>908.87087425120501</v>
      </c>
      <c r="AE62" s="75">
        <f>AD62*VLOOKUP(AA$6,Data!$A$4:$G$8,2,FALSE)</f>
        <v>9088.7087425120499</v>
      </c>
      <c r="AF62" s="82">
        <f t="shared" si="12"/>
        <v>22153.727559873121</v>
      </c>
      <c r="AG62" s="61">
        <f t="shared" si="13"/>
        <v>50398.382765205955</v>
      </c>
      <c r="AH62" s="60">
        <f t="shared" si="15"/>
        <v>35000</v>
      </c>
      <c r="AI62" s="60">
        <f t="shared" si="14"/>
        <v>15398.382765205955</v>
      </c>
      <c r="AJ62" s="62">
        <f t="shared" si="16"/>
        <v>1037807.861070929</v>
      </c>
    </row>
    <row r="63" spans="1:36" x14ac:dyDescent="0.25">
      <c r="A63" s="2">
        <v>56</v>
      </c>
      <c r="B63" s="36">
        <f t="shared" si="2"/>
        <v>5</v>
      </c>
      <c r="C63" s="11">
        <f>C62*(1+VLOOKUP(C$6,Data!$A$3:$G$8,6,0))^(1/12)</f>
        <v>4976.569270846695</v>
      </c>
      <c r="D63" s="59">
        <f>C63*VLOOKUP(C$6,Data!$A$4:$G$8,3,FALSE)</f>
        <v>2488.2846354233475</v>
      </c>
      <c r="E63" s="37">
        <f>VLOOKUP(C$6,Data!$A$3:$G$8,5,FALSE)</f>
        <v>7.0000000000000007E-2</v>
      </c>
      <c r="F63" s="58">
        <f t="shared" si="3"/>
        <v>348.35984895926867</v>
      </c>
      <c r="G63" s="75">
        <f>F63*VLOOKUP(C$6,Data!$A$4:$G$8,2,FALSE)</f>
        <v>1741.7992447963434</v>
      </c>
      <c r="H63" s="75">
        <f t="shared" si="4"/>
        <v>746.48539062700411</v>
      </c>
      <c r="I63" s="11">
        <f>I62*(1+VLOOKUP(I$6,Data!$A$3:$G$8,6,0))^(1/12)</f>
        <v>9466.9371269560361</v>
      </c>
      <c r="J63" s="59">
        <f>I63*VLOOKUP(I$6,Data!$A$4:$G$8,3,FALSE)</f>
        <v>2840.0811380868108</v>
      </c>
      <c r="K63" s="37">
        <f>VLOOKUP(I$6,Data!$A$3:$G$8,5,FALSE)</f>
        <v>0.06</v>
      </c>
      <c r="L63" s="58">
        <f t="shared" si="5"/>
        <v>568.01622761736212</v>
      </c>
      <c r="M63" s="75">
        <f>L63*VLOOKUP(I$6,Data!$A$4:$G$8,2,FALSE)</f>
        <v>3408.0973657041727</v>
      </c>
      <c r="N63" s="75">
        <f t="shared" si="6"/>
        <v>-568.01622761736189</v>
      </c>
      <c r="O63" s="11">
        <f>O62*(1+VLOOKUP(O$6,Data!$A$3:$G$8,6,0))^(1/12)</f>
        <v>9611.109686763124</v>
      </c>
      <c r="P63" s="59">
        <f>O63*VLOOKUP(O$6,Data!$A$4:$G$8,3,FALSE)</f>
        <v>9611.109686763124</v>
      </c>
      <c r="Q63" s="37">
        <f>VLOOKUP(O$6,Data!$A$3:$G$8,5,FALSE)</f>
        <v>0.05</v>
      </c>
      <c r="R63" s="58">
        <f t="shared" si="7"/>
        <v>480.55548433815625</v>
      </c>
      <c r="S63" s="75">
        <f>R63*VLOOKUP(O$6,Data!$A$4:$G$8,2,FALSE)</f>
        <v>3604.166132536172</v>
      </c>
      <c r="T63" s="75">
        <f t="shared" si="8"/>
        <v>6006.9435542269521</v>
      </c>
      <c r="U63" s="11">
        <f>U62*(1+VLOOKUP(U$6,Data!$A$3:$G$8,6,0))^(1/12)</f>
        <v>11611.994965308961</v>
      </c>
      <c r="V63" s="59">
        <f>U63*VLOOKUP(U$6,Data!$A$4:$G$8,3,FALSE)</f>
        <v>29029.9874132724</v>
      </c>
      <c r="W63" s="37">
        <f>VLOOKUP(U$6,Data!$A$3:$G$8,5,FALSE)</f>
        <v>7.0000000000000007E-2</v>
      </c>
      <c r="X63" s="58">
        <f t="shared" si="9"/>
        <v>812.83964757162732</v>
      </c>
      <c r="Y63" s="75">
        <f>X63*VLOOKUP(U$6,Data!$A$4:$G$8,2,FALSE)</f>
        <v>6909.1370043588322</v>
      </c>
      <c r="Z63" s="82">
        <f t="shared" si="10"/>
        <v>22120.850408913568</v>
      </c>
      <c r="AA63" s="11">
        <f>AA62*(1+VLOOKUP(AA$6,Data!$A$3:$G$8,6,0))^(1/12)</f>
        <v>11388.904937691224</v>
      </c>
      <c r="AB63" s="59">
        <f>AA63*VLOOKUP(AA$6,Data!$A$4:$G$8,3,FALSE)</f>
        <v>31319.488578650868</v>
      </c>
      <c r="AC63" s="37">
        <f>VLOOKUP(AA$6,Data!$A$3:$G$8,5,FALSE)</f>
        <v>0.08</v>
      </c>
      <c r="AD63" s="58">
        <f t="shared" si="11"/>
        <v>911.11239501529792</v>
      </c>
      <c r="AE63" s="75">
        <f>AD63*VLOOKUP(AA$6,Data!$A$4:$G$8,2,FALSE)</f>
        <v>9111.1239501529799</v>
      </c>
      <c r="AF63" s="82">
        <f t="shared" si="12"/>
        <v>22208.364628497889</v>
      </c>
      <c r="AG63" s="61">
        <f t="shared" si="13"/>
        <v>50514.627754648056</v>
      </c>
      <c r="AH63" s="60">
        <f t="shared" si="15"/>
        <v>35000</v>
      </c>
      <c r="AI63" s="60">
        <f t="shared" si="14"/>
        <v>15514.627754648056</v>
      </c>
      <c r="AJ63" s="62">
        <f t="shared" si="16"/>
        <v>1028682.9427886702</v>
      </c>
    </row>
    <row r="64" spans="1:36" x14ac:dyDescent="0.25">
      <c r="A64" s="2">
        <v>57</v>
      </c>
      <c r="B64" s="36">
        <f t="shared" si="2"/>
        <v>5</v>
      </c>
      <c r="C64" s="11">
        <f>C63*(1+VLOOKUP(C$6,Data!$A$3:$G$8,6,0))^(1/12)</f>
        <v>4984.7884796021362</v>
      </c>
      <c r="D64" s="59">
        <f>C64*VLOOKUP(C$6,Data!$A$4:$G$8,3,FALSE)</f>
        <v>2492.3942398010681</v>
      </c>
      <c r="E64" s="37">
        <f>VLOOKUP(C$6,Data!$A$3:$G$8,5,FALSE)</f>
        <v>7.0000000000000007E-2</v>
      </c>
      <c r="F64" s="58">
        <f t="shared" si="3"/>
        <v>348.93519357214956</v>
      </c>
      <c r="G64" s="75">
        <f>F64*VLOOKUP(C$6,Data!$A$4:$G$8,2,FALSE)</f>
        <v>1744.6759678607477</v>
      </c>
      <c r="H64" s="75">
        <f t="shared" si="4"/>
        <v>747.71827194032039</v>
      </c>
      <c r="I64" s="11">
        <f>I63*(1+VLOOKUP(I$6,Data!$A$3:$G$8,6,0))^(1/12)</f>
        <v>9474.7903121289655</v>
      </c>
      <c r="J64" s="59">
        <f>I64*VLOOKUP(I$6,Data!$A$4:$G$8,3,FALSE)</f>
        <v>2842.4370936386895</v>
      </c>
      <c r="K64" s="37">
        <f>VLOOKUP(I$6,Data!$A$3:$G$8,5,FALSE)</f>
        <v>0.06</v>
      </c>
      <c r="L64" s="58">
        <f t="shared" si="5"/>
        <v>568.48741872773792</v>
      </c>
      <c r="M64" s="75">
        <f>L64*VLOOKUP(I$6,Data!$A$4:$G$8,2,FALSE)</f>
        <v>3410.9245123664277</v>
      </c>
      <c r="N64" s="75">
        <f t="shared" si="6"/>
        <v>-568.48741872773826</v>
      </c>
      <c r="O64" s="11">
        <f>O63*(1+VLOOKUP(O$6,Data!$A$3:$G$8,6,0))^(1/12)</f>
        <v>9650.2665373252185</v>
      </c>
      <c r="P64" s="59">
        <f>O64*VLOOKUP(O$6,Data!$A$4:$G$8,3,FALSE)</f>
        <v>9650.2665373252185</v>
      </c>
      <c r="Q64" s="37">
        <f>VLOOKUP(O$6,Data!$A$3:$G$8,5,FALSE)</f>
        <v>0.05</v>
      </c>
      <c r="R64" s="58">
        <f t="shared" si="7"/>
        <v>482.51332686626097</v>
      </c>
      <c r="S64" s="75">
        <f>R64*VLOOKUP(O$6,Data!$A$4:$G$8,2,FALSE)</f>
        <v>3618.8499514969571</v>
      </c>
      <c r="T64" s="75">
        <f t="shared" si="8"/>
        <v>6031.4165858282613</v>
      </c>
      <c r="U64" s="11">
        <f>U63*(1+VLOOKUP(U$6,Data!$A$3:$G$8,6,0))^(1/12)</f>
        <v>11631.173119071656</v>
      </c>
      <c r="V64" s="59">
        <f>U64*VLOOKUP(U$6,Data!$A$4:$G$8,3,FALSE)</f>
        <v>29077.932797679139</v>
      </c>
      <c r="W64" s="37">
        <f>VLOOKUP(U$6,Data!$A$3:$G$8,5,FALSE)</f>
        <v>7.0000000000000007E-2</v>
      </c>
      <c r="X64" s="58">
        <f t="shared" si="9"/>
        <v>814.18211833501607</v>
      </c>
      <c r="Y64" s="75">
        <f>X64*VLOOKUP(U$6,Data!$A$4:$G$8,2,FALSE)</f>
        <v>6920.5480058476369</v>
      </c>
      <c r="Z64" s="82">
        <f t="shared" si="10"/>
        <v>22157.3847918315</v>
      </c>
      <c r="AA64" s="11">
        <f>AA63*(1+VLOOKUP(AA$6,Data!$A$3:$G$8,6,0))^(1/12)</f>
        <v>11416.993049678693</v>
      </c>
      <c r="AB64" s="59">
        <f>AA64*VLOOKUP(AA$6,Data!$A$4:$G$8,3,FALSE)</f>
        <v>31396.730886616406</v>
      </c>
      <c r="AC64" s="37">
        <f>VLOOKUP(AA$6,Data!$A$3:$G$8,5,FALSE)</f>
        <v>0.08</v>
      </c>
      <c r="AD64" s="58">
        <f t="shared" si="11"/>
        <v>913.35944397429546</v>
      </c>
      <c r="AE64" s="75">
        <f>AD64*VLOOKUP(AA$6,Data!$A$4:$G$8,2,FALSE)</f>
        <v>9133.5944397429539</v>
      </c>
      <c r="AF64" s="82">
        <f t="shared" si="12"/>
        <v>22263.136446873454</v>
      </c>
      <c r="AG64" s="61">
        <f t="shared" si="13"/>
        <v>50631.168677745794</v>
      </c>
      <c r="AH64" s="60">
        <f t="shared" si="15"/>
        <v>35000</v>
      </c>
      <c r="AI64" s="60">
        <f t="shared" si="14"/>
        <v>15631.168677745794</v>
      </c>
      <c r="AJ64" s="62">
        <f t="shared" si="16"/>
        <v>1019386.6201248497</v>
      </c>
    </row>
    <row r="65" spans="1:36" x14ac:dyDescent="0.25">
      <c r="A65" s="2">
        <v>58</v>
      </c>
      <c r="B65" s="36">
        <f t="shared" si="2"/>
        <v>5</v>
      </c>
      <c r="C65" s="11">
        <f>C64*(1+VLOOKUP(C$6,Data!$A$3:$G$8,6,0))^(1/12)</f>
        <v>4993.0212630490742</v>
      </c>
      <c r="D65" s="59">
        <f>C65*VLOOKUP(C$6,Data!$A$4:$G$8,3,FALSE)</f>
        <v>2496.5106315245371</v>
      </c>
      <c r="E65" s="37">
        <f>VLOOKUP(C$6,Data!$A$3:$G$8,5,FALSE)</f>
        <v>7.0000000000000007E-2</v>
      </c>
      <c r="F65" s="58">
        <f t="shared" si="3"/>
        <v>349.51148841343525</v>
      </c>
      <c r="G65" s="75">
        <f>F65*VLOOKUP(C$6,Data!$A$4:$G$8,2,FALSE)</f>
        <v>1747.5574420671762</v>
      </c>
      <c r="H65" s="75">
        <f t="shared" si="4"/>
        <v>748.95318945736085</v>
      </c>
      <c r="I65" s="11">
        <f>I64*(1+VLOOKUP(I$6,Data!$A$3:$G$8,6,0))^(1/12)</f>
        <v>9482.6500118183139</v>
      </c>
      <c r="J65" s="59">
        <f>I65*VLOOKUP(I$6,Data!$A$4:$G$8,3,FALSE)</f>
        <v>2844.7950035454942</v>
      </c>
      <c r="K65" s="37">
        <f>VLOOKUP(I$6,Data!$A$3:$G$8,5,FALSE)</f>
        <v>0.06</v>
      </c>
      <c r="L65" s="58">
        <f t="shared" si="5"/>
        <v>568.95900070909886</v>
      </c>
      <c r="M65" s="75">
        <f>L65*VLOOKUP(I$6,Data!$A$4:$G$8,2,FALSE)</f>
        <v>3413.7540042545934</v>
      </c>
      <c r="N65" s="75">
        <f t="shared" si="6"/>
        <v>-568.9590007090992</v>
      </c>
      <c r="O65" s="11">
        <f>O64*(1+VLOOKUP(O$6,Data!$A$3:$G$8,6,0))^(1/12)</f>
        <v>9689.5829177434807</v>
      </c>
      <c r="P65" s="59">
        <f>O65*VLOOKUP(O$6,Data!$A$4:$G$8,3,FALSE)</f>
        <v>9689.5829177434807</v>
      </c>
      <c r="Q65" s="37">
        <f>VLOOKUP(O$6,Data!$A$3:$G$8,5,FALSE)</f>
        <v>0.05</v>
      </c>
      <c r="R65" s="58">
        <f t="shared" si="7"/>
        <v>484.47914588717407</v>
      </c>
      <c r="S65" s="75">
        <f>R65*VLOOKUP(O$6,Data!$A$4:$G$8,2,FALSE)</f>
        <v>3633.5935941538055</v>
      </c>
      <c r="T65" s="75">
        <f t="shared" si="8"/>
        <v>6055.9893235896752</v>
      </c>
      <c r="U65" s="11">
        <f>U64*(1+VLOOKUP(U$6,Data!$A$3:$G$8,6,0))^(1/12)</f>
        <v>11650.382947114513</v>
      </c>
      <c r="V65" s="59">
        <f>U65*VLOOKUP(U$6,Data!$A$4:$G$8,3,FALSE)</f>
        <v>29125.957367786283</v>
      </c>
      <c r="W65" s="37">
        <f>VLOOKUP(U$6,Data!$A$3:$G$8,5,FALSE)</f>
        <v>7.0000000000000007E-2</v>
      </c>
      <c r="X65" s="58">
        <f t="shared" si="9"/>
        <v>815.52680629801591</v>
      </c>
      <c r="Y65" s="75">
        <f>X65*VLOOKUP(U$6,Data!$A$4:$G$8,2,FALSE)</f>
        <v>6931.9778535331352</v>
      </c>
      <c r="Z65" s="82">
        <f t="shared" si="10"/>
        <v>22193.979514253147</v>
      </c>
      <c r="AA65" s="11">
        <f>AA64*(1+VLOOKUP(AA$6,Data!$A$3:$G$8,6,0))^(1/12)</f>
        <v>11445.150434527717</v>
      </c>
      <c r="AB65" s="59">
        <f>AA65*VLOOKUP(AA$6,Data!$A$4:$G$8,3,FALSE)</f>
        <v>31474.163694951221</v>
      </c>
      <c r="AC65" s="37">
        <f>VLOOKUP(AA$6,Data!$A$3:$G$8,5,FALSE)</f>
        <v>0.08</v>
      </c>
      <c r="AD65" s="58">
        <f t="shared" si="11"/>
        <v>915.61203476221738</v>
      </c>
      <c r="AE65" s="75">
        <f>AD65*VLOOKUP(AA$6,Data!$A$4:$G$8,2,FALSE)</f>
        <v>9156.1203476221744</v>
      </c>
      <c r="AF65" s="82">
        <f t="shared" si="12"/>
        <v>22318.043347329047</v>
      </c>
      <c r="AG65" s="61">
        <f t="shared" si="13"/>
        <v>50748.006373920129</v>
      </c>
      <c r="AH65" s="60">
        <f t="shared" si="15"/>
        <v>35000</v>
      </c>
      <c r="AI65" s="60">
        <f t="shared" si="14"/>
        <v>15748.006373920129</v>
      </c>
      <c r="AJ65" s="62">
        <f t="shared" si="16"/>
        <v>1009917.561020205</v>
      </c>
    </row>
    <row r="66" spans="1:36" x14ac:dyDescent="0.25">
      <c r="A66" s="2">
        <v>59</v>
      </c>
      <c r="B66" s="36">
        <f t="shared" si="2"/>
        <v>5</v>
      </c>
      <c r="C66" s="11">
        <f>C65*(1+VLOOKUP(C$6,Data!$A$3:$G$8,6,0))^(1/12)</f>
        <v>5001.2676436072161</v>
      </c>
      <c r="D66" s="59">
        <f>C66*VLOOKUP(C$6,Data!$A$4:$G$8,3,FALSE)</f>
        <v>2500.633821803608</v>
      </c>
      <c r="E66" s="37">
        <f>VLOOKUP(C$6,Data!$A$3:$G$8,5,FALSE)</f>
        <v>7.0000000000000007E-2</v>
      </c>
      <c r="F66" s="58">
        <f t="shared" si="3"/>
        <v>350.08873505250517</v>
      </c>
      <c r="G66" s="75">
        <f>F66*VLOOKUP(C$6,Data!$A$4:$G$8,2,FALSE)</f>
        <v>1750.4436752625259</v>
      </c>
      <c r="H66" s="75">
        <f t="shared" si="4"/>
        <v>750.19014654108219</v>
      </c>
      <c r="I66" s="11">
        <f>I65*(1+VLOOKUP(I$6,Data!$A$3:$G$8,6,0))^(1/12)</f>
        <v>9490.5162314281224</v>
      </c>
      <c r="J66" s="59">
        <f>I66*VLOOKUP(I$6,Data!$A$4:$G$8,3,FALSE)</f>
        <v>2847.1548694284365</v>
      </c>
      <c r="K66" s="37">
        <f>VLOOKUP(I$6,Data!$A$3:$G$8,5,FALSE)</f>
        <v>0.06</v>
      </c>
      <c r="L66" s="58">
        <f t="shared" si="5"/>
        <v>569.43097388568731</v>
      </c>
      <c r="M66" s="75">
        <f>L66*VLOOKUP(I$6,Data!$A$4:$G$8,2,FALSE)</f>
        <v>3416.5858433141238</v>
      </c>
      <c r="N66" s="75">
        <f t="shared" si="6"/>
        <v>-569.43097388568731</v>
      </c>
      <c r="O66" s="11">
        <f>O65*(1+VLOOKUP(O$6,Data!$A$3:$G$8,6,0))^(1/12)</f>
        <v>9729.0594779622916</v>
      </c>
      <c r="P66" s="59">
        <f>O66*VLOOKUP(O$6,Data!$A$4:$G$8,3,FALSE)</f>
        <v>9729.0594779622916</v>
      </c>
      <c r="Q66" s="37">
        <f>VLOOKUP(O$6,Data!$A$3:$G$8,5,FALSE)</f>
        <v>0.05</v>
      </c>
      <c r="R66" s="58">
        <f t="shared" si="7"/>
        <v>486.45297389811458</v>
      </c>
      <c r="S66" s="75">
        <f>R66*VLOOKUP(O$6,Data!$A$4:$G$8,2,FALSE)</f>
        <v>3648.3973042358593</v>
      </c>
      <c r="T66" s="75">
        <f t="shared" si="8"/>
        <v>6080.6621737264322</v>
      </c>
      <c r="U66" s="11">
        <f>U65*(1+VLOOKUP(U$6,Data!$A$3:$G$8,6,0))^(1/12)</f>
        <v>11669.624501750177</v>
      </c>
      <c r="V66" s="59">
        <f>U66*VLOOKUP(U$6,Data!$A$4:$G$8,3,FALSE)</f>
        <v>29174.061254375443</v>
      </c>
      <c r="W66" s="37">
        <f>VLOOKUP(U$6,Data!$A$3:$G$8,5,FALSE)</f>
        <v>7.0000000000000007E-2</v>
      </c>
      <c r="X66" s="58">
        <f t="shared" si="9"/>
        <v>816.87371512251241</v>
      </c>
      <c r="Y66" s="75">
        <f>X66*VLOOKUP(U$6,Data!$A$4:$G$8,2,FALSE)</f>
        <v>6943.4265785413554</v>
      </c>
      <c r="Z66" s="82">
        <f t="shared" si="10"/>
        <v>22230.634675834088</v>
      </c>
      <c r="AA66" s="11">
        <f>AA65*(1+VLOOKUP(AA$6,Data!$A$3:$G$8,6,0))^(1/12)</f>
        <v>11473.377263083861</v>
      </c>
      <c r="AB66" s="59">
        <f>AA66*VLOOKUP(AA$6,Data!$A$4:$G$8,3,FALSE)</f>
        <v>31551.787473480617</v>
      </c>
      <c r="AC66" s="37">
        <f>VLOOKUP(AA$6,Data!$A$3:$G$8,5,FALSE)</f>
        <v>0.08</v>
      </c>
      <c r="AD66" s="58">
        <f t="shared" si="11"/>
        <v>917.87018104670892</v>
      </c>
      <c r="AE66" s="75">
        <f>AD66*VLOOKUP(AA$6,Data!$A$4:$G$8,2,FALSE)</f>
        <v>9178.7018104670897</v>
      </c>
      <c r="AF66" s="82">
        <f t="shared" si="12"/>
        <v>22373.085663013528</v>
      </c>
      <c r="AG66" s="61">
        <f t="shared" si="13"/>
        <v>50865.141685229442</v>
      </c>
      <c r="AH66" s="60">
        <f t="shared" si="15"/>
        <v>35000</v>
      </c>
      <c r="AI66" s="60">
        <f t="shared" si="14"/>
        <v>15865.141685229442</v>
      </c>
      <c r="AJ66" s="62">
        <f t="shared" si="16"/>
        <v>1000274.4245238622</v>
      </c>
    </row>
    <row r="67" spans="1:36" x14ac:dyDescent="0.25">
      <c r="A67" s="2">
        <v>60</v>
      </c>
      <c r="B67" s="36">
        <f t="shared" si="2"/>
        <v>5</v>
      </c>
      <c r="C67" s="11">
        <f>C66*(1+VLOOKUP(C$6,Data!$A$3:$G$8,6,0))^(1/12)</f>
        <v>5009.5276437332968</v>
      </c>
      <c r="D67" s="59">
        <f>C67*VLOOKUP(C$6,Data!$A$4:$G$8,3,FALSE)</f>
        <v>2504.7638218666484</v>
      </c>
      <c r="E67" s="37">
        <f>VLOOKUP(C$6,Data!$A$3:$G$8,5,FALSE)</f>
        <v>7.0000000000000007E-2</v>
      </c>
      <c r="F67" s="58">
        <f t="shared" si="3"/>
        <v>350.66693506133083</v>
      </c>
      <c r="G67" s="75">
        <f>F67*VLOOKUP(C$6,Data!$A$4:$G$8,2,FALSE)</f>
        <v>1753.3346753066542</v>
      </c>
      <c r="H67" s="75">
        <f t="shared" si="4"/>
        <v>751.42914655999425</v>
      </c>
      <c r="I67" s="11">
        <f>I66*(1+VLOOKUP(I$6,Data!$A$3:$G$8,6,0))^(1/12)</f>
        <v>9498.3889763669122</v>
      </c>
      <c r="J67" s="59">
        <f>I67*VLOOKUP(I$6,Data!$A$4:$G$8,3,FALSE)</f>
        <v>2849.5166929100737</v>
      </c>
      <c r="K67" s="37">
        <f>VLOOKUP(I$6,Data!$A$3:$G$8,5,FALSE)</f>
        <v>0.06</v>
      </c>
      <c r="L67" s="58">
        <f t="shared" si="5"/>
        <v>569.90333858201473</v>
      </c>
      <c r="M67" s="75">
        <f>L67*VLOOKUP(I$6,Data!$A$4:$G$8,2,FALSE)</f>
        <v>3419.4200314920881</v>
      </c>
      <c r="N67" s="75">
        <f t="shared" si="6"/>
        <v>-569.90333858201438</v>
      </c>
      <c r="O67" s="11">
        <f>O66*(1+VLOOKUP(O$6,Data!$A$3:$G$8,6,0))^(1/12)</f>
        <v>9768.6968705739873</v>
      </c>
      <c r="P67" s="59">
        <f>O67*VLOOKUP(O$6,Data!$A$4:$G$8,3,FALSE)</f>
        <v>9768.6968705739873</v>
      </c>
      <c r="Q67" s="37">
        <f>VLOOKUP(O$6,Data!$A$3:$G$8,5,FALSE)</f>
        <v>0.05</v>
      </c>
      <c r="R67" s="58">
        <f t="shared" si="7"/>
        <v>488.43484352869939</v>
      </c>
      <c r="S67" s="75">
        <f>R67*VLOOKUP(O$6,Data!$A$4:$G$8,2,FALSE)</f>
        <v>3663.2613264652455</v>
      </c>
      <c r="T67" s="75">
        <f t="shared" si="8"/>
        <v>6105.4355441087419</v>
      </c>
      <c r="U67" s="11">
        <f>U66*(1+VLOOKUP(U$6,Data!$A$3:$G$8,6,0))^(1/12)</f>
        <v>11688.897835377698</v>
      </c>
      <c r="V67" s="59">
        <f>U67*VLOOKUP(U$6,Data!$A$4:$G$8,3,FALSE)</f>
        <v>29222.244588444246</v>
      </c>
      <c r="W67" s="37">
        <f>VLOOKUP(U$6,Data!$A$3:$G$8,5,FALSE)</f>
        <v>7.0000000000000007E-2</v>
      </c>
      <c r="X67" s="58">
        <f t="shared" si="9"/>
        <v>818.22284847643891</v>
      </c>
      <c r="Y67" s="75">
        <f>X67*VLOOKUP(U$6,Data!$A$4:$G$8,2,FALSE)</f>
        <v>6954.8942120497304</v>
      </c>
      <c r="Z67" s="82">
        <f t="shared" si="10"/>
        <v>22267.350376394515</v>
      </c>
      <c r="AA67" s="11">
        <f>AA66*(1+VLOOKUP(AA$6,Data!$A$3:$G$8,6,0))^(1/12)</f>
        <v>11501.673706614041</v>
      </c>
      <c r="AB67" s="59">
        <f>AA67*VLOOKUP(AA$6,Data!$A$4:$G$8,3,FALSE)</f>
        <v>31629.602693188615</v>
      </c>
      <c r="AC67" s="37">
        <f>VLOOKUP(AA$6,Data!$A$3:$G$8,5,FALSE)</f>
        <v>0.08</v>
      </c>
      <c r="AD67" s="58">
        <f t="shared" si="11"/>
        <v>920.13389652912338</v>
      </c>
      <c r="AE67" s="75">
        <f>AD67*VLOOKUP(AA$6,Data!$A$4:$G$8,2,FALSE)</f>
        <v>9201.3389652912338</v>
      </c>
      <c r="AF67" s="82">
        <f t="shared" si="12"/>
        <v>22428.263727897382</v>
      </c>
      <c r="AG67" s="61">
        <f t="shared" si="13"/>
        <v>50982.575456378618</v>
      </c>
      <c r="AH67" s="60">
        <f t="shared" si="15"/>
        <v>35000</v>
      </c>
      <c r="AI67" s="60">
        <f t="shared" si="14"/>
        <v>15982.575456378618</v>
      </c>
      <c r="AJ67" s="62">
        <f t="shared" si="16"/>
        <v>990455.86073694949</v>
      </c>
    </row>
    <row r="68" spans="1:36" x14ac:dyDescent="0.25">
      <c r="A68" s="2">
        <v>61</v>
      </c>
      <c r="B68" s="36">
        <f t="shared" si="2"/>
        <v>6</v>
      </c>
      <c r="C68" s="11">
        <f>C67*(1+VLOOKUP(C$6,Data!$A$3:$G$8,6,0))^(1/12)</f>
        <v>5017.8012859211394</v>
      </c>
      <c r="D68" s="59">
        <f>C68*VLOOKUP(C$6,Data!$A$4:$G$8,3,FALSE)</f>
        <v>2508.9006429605697</v>
      </c>
      <c r="E68" s="37">
        <f>VLOOKUP(C$6,Data!$A$3:$G$8,5,FALSE)</f>
        <v>7.0000000000000007E-2</v>
      </c>
      <c r="F68" s="58">
        <f t="shared" si="3"/>
        <v>351.24609001447982</v>
      </c>
      <c r="G68" s="75">
        <f>F68*VLOOKUP(C$6,Data!$A$4:$G$8,2,FALSE)</f>
        <v>1756.230450072399</v>
      </c>
      <c r="H68" s="75">
        <f t="shared" si="4"/>
        <v>752.67019288817073</v>
      </c>
      <c r="I68" s="11">
        <f>I67*(1+VLOOKUP(I$6,Data!$A$3:$G$8,6,0))^(1/12)</f>
        <v>9506.2682520476937</v>
      </c>
      <c r="J68" s="59">
        <f>I68*VLOOKUP(I$6,Data!$A$4:$G$8,3,FALSE)</f>
        <v>2851.8804756143081</v>
      </c>
      <c r="K68" s="37">
        <f>VLOOKUP(I$6,Data!$A$3:$G$8,5,FALSE)</f>
        <v>0.06</v>
      </c>
      <c r="L68" s="58">
        <f t="shared" si="5"/>
        <v>570.37609512286156</v>
      </c>
      <c r="M68" s="75">
        <f>L68*VLOOKUP(I$6,Data!$A$4:$G$8,2,FALSE)</f>
        <v>3422.2565707371696</v>
      </c>
      <c r="N68" s="75">
        <f t="shared" si="6"/>
        <v>-570.37609512286144</v>
      </c>
      <c r="O68" s="11">
        <f>O67*(1+VLOOKUP(O$6,Data!$A$3:$G$8,6,0))^(1/12)</f>
        <v>9808.4957508296447</v>
      </c>
      <c r="P68" s="59">
        <f>O68*VLOOKUP(O$6,Data!$A$4:$G$8,3,FALSE)</f>
        <v>9808.4957508296447</v>
      </c>
      <c r="Q68" s="37">
        <f>VLOOKUP(O$6,Data!$A$3:$G$8,5,FALSE)</f>
        <v>0.05</v>
      </c>
      <c r="R68" s="58">
        <f t="shared" si="7"/>
        <v>490.42478754148226</v>
      </c>
      <c r="S68" s="75">
        <f>R68*VLOOKUP(O$6,Data!$A$4:$G$8,2,FALSE)</f>
        <v>3678.185906561117</v>
      </c>
      <c r="T68" s="75">
        <f t="shared" si="8"/>
        <v>6130.3098442685277</v>
      </c>
      <c r="U68" s="11">
        <f>U67*(1+VLOOKUP(U$6,Data!$A$3:$G$8,6,0))^(1/12)</f>
        <v>11708.203000482665</v>
      </c>
      <c r="V68" s="59">
        <f>U68*VLOOKUP(U$6,Data!$A$4:$G$8,3,FALSE)</f>
        <v>29270.507501206663</v>
      </c>
      <c r="W68" s="37">
        <f>VLOOKUP(U$6,Data!$A$3:$G$8,5,FALSE)</f>
        <v>7.0000000000000007E-2</v>
      </c>
      <c r="X68" s="58">
        <f t="shared" si="9"/>
        <v>819.57421003378658</v>
      </c>
      <c r="Y68" s="75">
        <f>X68*VLOOKUP(U$6,Data!$A$4:$G$8,2,FALSE)</f>
        <v>6966.380785287186</v>
      </c>
      <c r="Z68" s="82">
        <f t="shared" si="10"/>
        <v>22304.126715919476</v>
      </c>
      <c r="AA68" s="11">
        <f>AA67*(1+VLOOKUP(AA$6,Data!$A$3:$G$8,6,0))^(1/12)</f>
        <v>11530.039936807563</v>
      </c>
      <c r="AB68" s="59">
        <f>AA68*VLOOKUP(AA$6,Data!$A$4:$G$8,3,FALSE)</f>
        <v>31707.6098262208</v>
      </c>
      <c r="AC68" s="37">
        <f>VLOOKUP(AA$6,Data!$A$3:$G$8,5,FALSE)</f>
        <v>0.08</v>
      </c>
      <c r="AD68" s="58">
        <f t="shared" si="11"/>
        <v>922.40319494460505</v>
      </c>
      <c r="AE68" s="75">
        <f>AD68*VLOOKUP(AA$6,Data!$A$4:$G$8,2,FALSE)</f>
        <v>9224.0319494460509</v>
      </c>
      <c r="AF68" s="82">
        <f t="shared" si="12"/>
        <v>22483.577876774747</v>
      </c>
      <c r="AG68" s="61">
        <f t="shared" si="13"/>
        <v>51100.308534728058</v>
      </c>
      <c r="AH68" s="60">
        <f t="shared" si="15"/>
        <v>35000</v>
      </c>
      <c r="AI68" s="60">
        <f t="shared" si="14"/>
        <v>16100.308534728058</v>
      </c>
      <c r="AJ68" s="62">
        <f t="shared" si="16"/>
        <v>980460.51075586083</v>
      </c>
    </row>
    <row r="69" spans="1:36" x14ac:dyDescent="0.25">
      <c r="A69" s="2">
        <v>62</v>
      </c>
      <c r="B69" s="36">
        <f t="shared" si="2"/>
        <v>6</v>
      </c>
      <c r="C69" s="11">
        <f>C68*(1+VLOOKUP(C$6,Data!$A$3:$G$8,6,0))^(1/12)</f>
        <v>5026.088592701718</v>
      </c>
      <c r="D69" s="59">
        <f>C69*VLOOKUP(C$6,Data!$A$4:$G$8,3,FALSE)</f>
        <v>2513.044296350859</v>
      </c>
      <c r="E69" s="37">
        <f>VLOOKUP(C$6,Data!$A$3:$G$8,5,FALSE)</f>
        <v>7.0000000000000007E-2</v>
      </c>
      <c r="F69" s="58">
        <f t="shared" si="3"/>
        <v>351.82620148912031</v>
      </c>
      <c r="G69" s="75">
        <f>F69*VLOOKUP(C$6,Data!$A$4:$G$8,2,FALSE)</f>
        <v>1759.1310074456014</v>
      </c>
      <c r="H69" s="75">
        <f t="shared" si="4"/>
        <v>753.91328890525756</v>
      </c>
      <c r="I69" s="11">
        <f>I68*(1+VLOOKUP(I$6,Data!$A$3:$G$8,6,0))^(1/12)</f>
        <v>9514.1540638879669</v>
      </c>
      <c r="J69" s="59">
        <f>I69*VLOOKUP(I$6,Data!$A$4:$G$8,3,FALSE)</f>
        <v>2854.2462191663899</v>
      </c>
      <c r="K69" s="37">
        <f>VLOOKUP(I$6,Data!$A$3:$G$8,5,FALSE)</f>
        <v>0.06</v>
      </c>
      <c r="L69" s="58">
        <f t="shared" si="5"/>
        <v>570.84924383327802</v>
      </c>
      <c r="M69" s="75">
        <f>L69*VLOOKUP(I$6,Data!$A$4:$G$8,2,FALSE)</f>
        <v>3425.0954629996681</v>
      </c>
      <c r="N69" s="75">
        <f t="shared" si="6"/>
        <v>-570.84924383327825</v>
      </c>
      <c r="O69" s="11">
        <f>O68*(1+VLOOKUP(O$6,Data!$A$3:$G$8,6,0))^(1/12)</f>
        <v>9848.4567766499131</v>
      </c>
      <c r="P69" s="59">
        <f>O69*VLOOKUP(O$6,Data!$A$4:$G$8,3,FALSE)</f>
        <v>9848.4567766499131</v>
      </c>
      <c r="Q69" s="37">
        <f>VLOOKUP(O$6,Data!$A$3:$G$8,5,FALSE)</f>
        <v>0.05</v>
      </c>
      <c r="R69" s="58">
        <f t="shared" si="7"/>
        <v>492.4228388324957</v>
      </c>
      <c r="S69" s="75">
        <f>R69*VLOOKUP(O$6,Data!$A$4:$G$8,2,FALSE)</f>
        <v>3693.1712912437179</v>
      </c>
      <c r="T69" s="75">
        <f t="shared" si="8"/>
        <v>6155.2854854061952</v>
      </c>
      <c r="U69" s="11">
        <f>U68*(1+VLOOKUP(U$6,Data!$A$3:$G$8,6,0))^(1/12)</f>
        <v>11727.540049637348</v>
      </c>
      <c r="V69" s="59">
        <f>U69*VLOOKUP(U$6,Data!$A$4:$G$8,3,FALSE)</f>
        <v>29318.850124093369</v>
      </c>
      <c r="W69" s="37">
        <f>VLOOKUP(U$6,Data!$A$3:$G$8,5,FALSE)</f>
        <v>7.0000000000000007E-2</v>
      </c>
      <c r="X69" s="58">
        <f t="shared" si="9"/>
        <v>820.92780347461439</v>
      </c>
      <c r="Y69" s="75">
        <f>X69*VLOOKUP(U$6,Data!$A$4:$G$8,2,FALSE)</f>
        <v>6977.8863295342226</v>
      </c>
      <c r="Z69" s="82">
        <f t="shared" si="10"/>
        <v>22340.963794559146</v>
      </c>
      <c r="AA69" s="11">
        <f>AA68*(1+VLOOKUP(AA$6,Data!$A$3:$G$8,6,0))^(1/12)</f>
        <v>11558.476125777166</v>
      </c>
      <c r="AB69" s="59">
        <f>AA69*VLOOKUP(AA$6,Data!$A$4:$G$8,3,FALSE)</f>
        <v>31785.809345887206</v>
      </c>
      <c r="AC69" s="37">
        <f>VLOOKUP(AA$6,Data!$A$3:$G$8,5,FALSE)</f>
        <v>0.08</v>
      </c>
      <c r="AD69" s="58">
        <f t="shared" si="11"/>
        <v>924.67809006217328</v>
      </c>
      <c r="AE69" s="75">
        <f>AD69*VLOOKUP(AA$6,Data!$A$4:$G$8,2,FALSE)</f>
        <v>9246.7809006217321</v>
      </c>
      <c r="AF69" s="82">
        <f t="shared" si="12"/>
        <v>22539.028445265474</v>
      </c>
      <c r="AG69" s="61">
        <f t="shared" si="13"/>
        <v>51218.341770302795</v>
      </c>
      <c r="AH69" s="60">
        <f t="shared" si="15"/>
        <v>35000</v>
      </c>
      <c r="AI69" s="60">
        <f t="shared" si="14"/>
        <v>16218.341770302795</v>
      </c>
      <c r="AJ69" s="62">
        <f t="shared" si="16"/>
        <v>970287.00661516772</v>
      </c>
    </row>
    <row r="70" spans="1:36" x14ac:dyDescent="0.25">
      <c r="A70" s="2">
        <v>63</v>
      </c>
      <c r="B70" s="36">
        <f t="shared" si="2"/>
        <v>6</v>
      </c>
      <c r="C70" s="11">
        <f>C69*(1+VLOOKUP(C$6,Data!$A$3:$G$8,6,0))^(1/12)</f>
        <v>5034.3895866432185</v>
      </c>
      <c r="D70" s="59">
        <f>C70*VLOOKUP(C$6,Data!$A$4:$G$8,3,FALSE)</f>
        <v>2517.1947933216093</v>
      </c>
      <c r="E70" s="37">
        <f>VLOOKUP(C$6,Data!$A$3:$G$8,5,FALSE)</f>
        <v>7.0000000000000007E-2</v>
      </c>
      <c r="F70" s="58">
        <f t="shared" si="3"/>
        <v>352.40727106502533</v>
      </c>
      <c r="G70" s="75">
        <f>F70*VLOOKUP(C$6,Data!$A$4:$G$8,2,FALSE)</f>
        <v>1762.0363553251266</v>
      </c>
      <c r="H70" s="75">
        <f t="shared" si="4"/>
        <v>755.15843799648269</v>
      </c>
      <c r="I70" s="11">
        <f>I69*(1+VLOOKUP(I$6,Data!$A$3:$G$8,6,0))^(1/12)</f>
        <v>9522.0464173097225</v>
      </c>
      <c r="J70" s="59">
        <f>I70*VLOOKUP(I$6,Data!$A$4:$G$8,3,FALSE)</f>
        <v>2856.6139251929167</v>
      </c>
      <c r="K70" s="37">
        <f>VLOOKUP(I$6,Data!$A$3:$G$8,5,FALSE)</f>
        <v>0.06</v>
      </c>
      <c r="L70" s="58">
        <f t="shared" si="5"/>
        <v>571.32278503858333</v>
      </c>
      <c r="M70" s="75">
        <f>L70*VLOOKUP(I$6,Data!$A$4:$G$8,2,FALSE)</f>
        <v>3427.9367102315</v>
      </c>
      <c r="N70" s="75">
        <f t="shared" si="6"/>
        <v>-571.32278503858333</v>
      </c>
      <c r="O70" s="11">
        <f>O69*(1+VLOOKUP(O$6,Data!$A$3:$G$8,6,0))^(1/12)</f>
        <v>9888.5806086358953</v>
      </c>
      <c r="P70" s="59">
        <f>O70*VLOOKUP(O$6,Data!$A$4:$G$8,3,FALSE)</f>
        <v>9888.5806086358953</v>
      </c>
      <c r="Q70" s="37">
        <f>VLOOKUP(O$6,Data!$A$3:$G$8,5,FALSE)</f>
        <v>0.05</v>
      </c>
      <c r="R70" s="58">
        <f t="shared" si="7"/>
        <v>494.42903043179479</v>
      </c>
      <c r="S70" s="75">
        <f>R70*VLOOKUP(O$6,Data!$A$4:$G$8,2,FALSE)</f>
        <v>3708.2177282384609</v>
      </c>
      <c r="T70" s="75">
        <f t="shared" si="8"/>
        <v>6180.3628803974343</v>
      </c>
      <c r="U70" s="11">
        <f>U69*(1+VLOOKUP(U$6,Data!$A$3:$G$8,6,0))^(1/12)</f>
        <v>11746.909035500848</v>
      </c>
      <c r="V70" s="59">
        <f>U70*VLOOKUP(U$6,Data!$A$4:$G$8,3,FALSE)</f>
        <v>29367.272588752123</v>
      </c>
      <c r="W70" s="37">
        <f>VLOOKUP(U$6,Data!$A$3:$G$8,5,FALSE)</f>
        <v>7.0000000000000007E-2</v>
      </c>
      <c r="X70" s="58">
        <f t="shared" si="9"/>
        <v>822.28363248505946</v>
      </c>
      <c r="Y70" s="75">
        <f>X70*VLOOKUP(U$6,Data!$A$4:$G$8,2,FALSE)</f>
        <v>6989.4108761230054</v>
      </c>
      <c r="Z70" s="82">
        <f t="shared" si="10"/>
        <v>22377.861712629117</v>
      </c>
      <c r="AA70" s="11">
        <f>AA69*(1+VLOOKUP(AA$6,Data!$A$3:$G$8,6,0))^(1/12)</f>
        <v>11586.982446060065</v>
      </c>
      <c r="AB70" s="59">
        <f>AA70*VLOOKUP(AA$6,Data!$A$4:$G$8,3,FALSE)</f>
        <v>31864.201726665178</v>
      </c>
      <c r="AC70" s="37">
        <f>VLOOKUP(AA$6,Data!$A$3:$G$8,5,FALSE)</f>
        <v>0.08</v>
      </c>
      <c r="AD70" s="58">
        <f t="shared" si="11"/>
        <v>926.95859568480523</v>
      </c>
      <c r="AE70" s="75">
        <f>AD70*VLOOKUP(AA$6,Data!$A$4:$G$8,2,FALSE)</f>
        <v>9269.5859568480519</v>
      </c>
      <c r="AF70" s="82">
        <f t="shared" si="12"/>
        <v>22594.615769817126</v>
      </c>
      <c r="AG70" s="61">
        <f t="shared" si="13"/>
        <v>51336.676015801582</v>
      </c>
      <c r="AH70" s="60">
        <f t="shared" si="15"/>
        <v>35000</v>
      </c>
      <c r="AI70" s="60">
        <f t="shared" si="14"/>
        <v>16336.676015801582</v>
      </c>
      <c r="AJ70" s="62">
        <f t="shared" si="16"/>
        <v>959933.97123017604</v>
      </c>
    </row>
    <row r="71" spans="1:36" x14ac:dyDescent="0.25">
      <c r="A71" s="2">
        <v>64</v>
      </c>
      <c r="B71" s="36">
        <f t="shared" si="2"/>
        <v>6</v>
      </c>
      <c r="C71" s="11">
        <f>C70*(1+VLOOKUP(C$6,Data!$A$3:$G$8,6,0))^(1/12)</f>
        <v>5042.7042903511001</v>
      </c>
      <c r="D71" s="59">
        <f>C71*VLOOKUP(C$6,Data!$A$4:$G$8,3,FALSE)</f>
        <v>2521.35214517555</v>
      </c>
      <c r="E71" s="37">
        <f>VLOOKUP(C$6,Data!$A$3:$G$8,5,FALSE)</f>
        <v>7.0000000000000007E-2</v>
      </c>
      <c r="F71" s="58">
        <f t="shared" si="3"/>
        <v>352.98930032457702</v>
      </c>
      <c r="G71" s="75">
        <f>F71*VLOOKUP(C$6,Data!$A$4:$G$8,2,FALSE)</f>
        <v>1764.9465016228851</v>
      </c>
      <c r="H71" s="75">
        <f t="shared" si="4"/>
        <v>756.40564355266497</v>
      </c>
      <c r="I71" s="11">
        <f>I70*(1+VLOOKUP(I$6,Data!$A$3:$G$8,6,0))^(1/12)</f>
        <v>9529.9453177394535</v>
      </c>
      <c r="J71" s="59">
        <f>I71*VLOOKUP(I$6,Data!$A$4:$G$8,3,FALSE)</f>
        <v>2858.9835953218358</v>
      </c>
      <c r="K71" s="37">
        <f>VLOOKUP(I$6,Data!$A$3:$G$8,5,FALSE)</f>
        <v>0.06</v>
      </c>
      <c r="L71" s="58">
        <f t="shared" si="5"/>
        <v>571.79671906436715</v>
      </c>
      <c r="M71" s="75">
        <f>L71*VLOOKUP(I$6,Data!$A$4:$G$8,2,FALSE)</f>
        <v>3430.7803143862029</v>
      </c>
      <c r="N71" s="75">
        <f t="shared" si="6"/>
        <v>-571.79671906436715</v>
      </c>
      <c r="O71" s="11">
        <f>O70*(1+VLOOKUP(O$6,Data!$A$3:$G$8,6,0))^(1/12)</f>
        <v>9928.8679100800618</v>
      </c>
      <c r="P71" s="59">
        <f>O71*VLOOKUP(O$6,Data!$A$4:$G$8,3,FALSE)</f>
        <v>9928.8679100800618</v>
      </c>
      <c r="Q71" s="37">
        <f>VLOOKUP(O$6,Data!$A$3:$G$8,5,FALSE)</f>
        <v>0.05</v>
      </c>
      <c r="R71" s="58">
        <f t="shared" si="7"/>
        <v>496.44339550400309</v>
      </c>
      <c r="S71" s="75">
        <f>R71*VLOOKUP(O$6,Data!$A$4:$G$8,2,FALSE)</f>
        <v>3723.3254662800232</v>
      </c>
      <c r="T71" s="75">
        <f t="shared" si="8"/>
        <v>6205.5424438000391</v>
      </c>
      <c r="U71" s="11">
        <f>U70*(1+VLOOKUP(U$6,Data!$A$3:$G$8,6,0))^(1/12)</f>
        <v>11766.310010819239</v>
      </c>
      <c r="V71" s="59">
        <f>U71*VLOOKUP(U$6,Data!$A$4:$G$8,3,FALSE)</f>
        <v>29415.775027048097</v>
      </c>
      <c r="W71" s="37">
        <f>VLOOKUP(U$6,Data!$A$3:$G$8,5,FALSE)</f>
        <v>7.0000000000000007E-2</v>
      </c>
      <c r="X71" s="58">
        <f t="shared" si="9"/>
        <v>823.64170075734683</v>
      </c>
      <c r="Y71" s="75">
        <f>X71*VLOOKUP(U$6,Data!$A$4:$G$8,2,FALSE)</f>
        <v>7000.9544564374482</v>
      </c>
      <c r="Z71" s="82">
        <f t="shared" si="10"/>
        <v>22414.820570610649</v>
      </c>
      <c r="AA71" s="11">
        <f>AA70*(1+VLOOKUP(AA$6,Data!$A$3:$G$8,6,0))^(1/12)</f>
        <v>11615.559070618996</v>
      </c>
      <c r="AB71" s="59">
        <f>AA71*VLOOKUP(AA$6,Data!$A$4:$G$8,3,FALSE)</f>
        <v>31942.78744420224</v>
      </c>
      <c r="AC71" s="37">
        <f>VLOOKUP(AA$6,Data!$A$3:$G$8,5,FALSE)</f>
        <v>0.08</v>
      </c>
      <c r="AD71" s="58">
        <f t="shared" si="11"/>
        <v>929.24472564951975</v>
      </c>
      <c r="AE71" s="75">
        <f>AD71*VLOOKUP(AA$6,Data!$A$4:$G$8,2,FALSE)</f>
        <v>9292.4472564951975</v>
      </c>
      <c r="AF71" s="82">
        <f t="shared" si="12"/>
        <v>22650.340187707043</v>
      </c>
      <c r="AG71" s="61">
        <f t="shared" si="13"/>
        <v>51455.312126606033</v>
      </c>
      <c r="AH71" s="60">
        <f t="shared" si="15"/>
        <v>35000</v>
      </c>
      <c r="AI71" s="60">
        <f t="shared" si="14"/>
        <v>16455.312126606033</v>
      </c>
      <c r="AJ71" s="62">
        <f t="shared" si="16"/>
        <v>949400.01833912765</v>
      </c>
    </row>
    <row r="72" spans="1:36" x14ac:dyDescent="0.25">
      <c r="A72" s="2">
        <v>65</v>
      </c>
      <c r="B72" s="36">
        <f t="shared" si="2"/>
        <v>6</v>
      </c>
      <c r="C72" s="11">
        <f>C71*(1+VLOOKUP(C$6,Data!$A$3:$G$8,6,0))^(1/12)</f>
        <v>5051.0327264681573</v>
      </c>
      <c r="D72" s="59">
        <f>C72*VLOOKUP(C$6,Data!$A$4:$G$8,3,FALSE)</f>
        <v>2525.5163632340787</v>
      </c>
      <c r="E72" s="37">
        <f>VLOOKUP(C$6,Data!$A$3:$G$8,5,FALSE)</f>
        <v>7.0000000000000007E-2</v>
      </c>
      <c r="F72" s="58">
        <f t="shared" si="3"/>
        <v>353.57229085277106</v>
      </c>
      <c r="G72" s="75">
        <f>F72*VLOOKUP(C$6,Data!$A$4:$G$8,2,FALSE)</f>
        <v>1767.8614542638552</v>
      </c>
      <c r="H72" s="75">
        <f t="shared" si="4"/>
        <v>757.65490897022346</v>
      </c>
      <c r="I72" s="11">
        <f>I71*(1+VLOOKUP(I$6,Data!$A$3:$G$8,6,0))^(1/12)</f>
        <v>9537.8507706081527</v>
      </c>
      <c r="J72" s="59">
        <f>I72*VLOOKUP(I$6,Data!$A$4:$G$8,3,FALSE)</f>
        <v>2861.3552311824456</v>
      </c>
      <c r="K72" s="37">
        <f>VLOOKUP(I$6,Data!$A$3:$G$8,5,FALSE)</f>
        <v>0.06</v>
      </c>
      <c r="L72" s="58">
        <f t="shared" si="5"/>
        <v>572.27104623648916</v>
      </c>
      <c r="M72" s="75">
        <f>L72*VLOOKUP(I$6,Data!$A$4:$G$8,2,FALSE)</f>
        <v>3433.6262774189349</v>
      </c>
      <c r="N72" s="75">
        <f t="shared" si="6"/>
        <v>-572.27104623648938</v>
      </c>
      <c r="O72" s="11">
        <f>O71*(1+VLOOKUP(O$6,Data!$A$3:$G$8,6,0))^(1/12)</f>
        <v>9969.3193469772214</v>
      </c>
      <c r="P72" s="59">
        <f>O72*VLOOKUP(O$6,Data!$A$4:$G$8,3,FALSE)</f>
        <v>9969.3193469772214</v>
      </c>
      <c r="Q72" s="37">
        <f>VLOOKUP(O$6,Data!$A$3:$G$8,5,FALSE)</f>
        <v>0.05</v>
      </c>
      <c r="R72" s="58">
        <f t="shared" si="7"/>
        <v>498.46596734886111</v>
      </c>
      <c r="S72" s="75">
        <f>R72*VLOOKUP(O$6,Data!$A$4:$G$8,2,FALSE)</f>
        <v>3738.4947551164582</v>
      </c>
      <c r="T72" s="75">
        <f t="shared" si="8"/>
        <v>6230.8245918607627</v>
      </c>
      <c r="U72" s="11">
        <f>U71*(1+VLOOKUP(U$6,Data!$A$3:$G$8,6,0))^(1/12)</f>
        <v>11785.743028425704</v>
      </c>
      <c r="V72" s="59">
        <f>U72*VLOOKUP(U$6,Data!$A$4:$G$8,3,FALSE)</f>
        <v>29464.357571064262</v>
      </c>
      <c r="W72" s="37">
        <f>VLOOKUP(U$6,Data!$A$3:$G$8,5,FALSE)</f>
        <v>7.0000000000000007E-2</v>
      </c>
      <c r="X72" s="58">
        <f t="shared" si="9"/>
        <v>825.00201198979937</v>
      </c>
      <c r="Y72" s="75">
        <f>X72*VLOOKUP(U$6,Data!$A$4:$G$8,2,FALSE)</f>
        <v>7012.5171019132949</v>
      </c>
      <c r="Z72" s="82">
        <f t="shared" si="10"/>
        <v>22451.840469150968</v>
      </c>
      <c r="AA72" s="11">
        <f>AA71*(1+VLOOKUP(AA$6,Data!$A$3:$G$8,6,0))^(1/12)</f>
        <v>11644.206172843271</v>
      </c>
      <c r="AB72" s="59">
        <f>AA72*VLOOKUP(AA$6,Data!$A$4:$G$8,3,FALSE)</f>
        <v>32021.566975318994</v>
      </c>
      <c r="AC72" s="37">
        <f>VLOOKUP(AA$6,Data!$A$3:$G$8,5,FALSE)</f>
        <v>0.08</v>
      </c>
      <c r="AD72" s="58">
        <f t="shared" si="11"/>
        <v>931.53649382746164</v>
      </c>
      <c r="AE72" s="75">
        <f>AD72*VLOOKUP(AA$6,Data!$A$4:$G$8,2,FALSE)</f>
        <v>9315.3649382746171</v>
      </c>
      <c r="AF72" s="82">
        <f t="shared" si="12"/>
        <v>22706.202037044379</v>
      </c>
      <c r="AG72" s="61">
        <f t="shared" si="13"/>
        <v>51574.250960789839</v>
      </c>
      <c r="AH72" s="60">
        <f t="shared" ref="AH72:AH103" si="17">fixed_exp</f>
        <v>35000</v>
      </c>
      <c r="AI72" s="60">
        <f t="shared" si="14"/>
        <v>16574.250960789839</v>
      </c>
      <c r="AJ72" s="62">
        <f t="shared" ref="AJ72:AJ103" si="18">(AI72+AJ73)/(1+disc_rate)^(1/12)</f>
        <v>938683.75244504272</v>
      </c>
    </row>
    <row r="73" spans="1:36" x14ac:dyDescent="0.25">
      <c r="A73" s="2">
        <v>66</v>
      </c>
      <c r="B73" s="36">
        <f t="shared" ref="B73:B127" si="19">ROUNDUP(MAX((A73)/12,0),0)</f>
        <v>6</v>
      </c>
      <c r="C73" s="11">
        <f>C72*(1+VLOOKUP(C$6,Data!$A$3:$G$8,6,0))^(1/12)</f>
        <v>5059.3749176745796</v>
      </c>
      <c r="D73" s="59">
        <f>C73*VLOOKUP(C$6,Data!$A$4:$G$8,3,FALSE)</f>
        <v>2529.6874588372898</v>
      </c>
      <c r="E73" s="37">
        <f>VLOOKUP(C$6,Data!$A$3:$G$8,5,FALSE)</f>
        <v>7.0000000000000007E-2</v>
      </c>
      <c r="F73" s="58">
        <f t="shared" ref="F73:F127" si="20">C73*E73</f>
        <v>354.15624423722062</v>
      </c>
      <c r="G73" s="75">
        <f>F73*VLOOKUP(C$6,Data!$A$4:$G$8,2,FALSE)</f>
        <v>1770.781221186103</v>
      </c>
      <c r="H73" s="75">
        <f t="shared" ref="H73:H127" si="21">D73-G73</f>
        <v>758.90623765118676</v>
      </c>
      <c r="I73" s="11">
        <f>I72*(1+VLOOKUP(I$6,Data!$A$3:$G$8,6,0))^(1/12)</f>
        <v>9545.7627813513172</v>
      </c>
      <c r="J73" s="59">
        <f>I73*VLOOKUP(I$6,Data!$A$4:$G$8,3,FALSE)</f>
        <v>2863.728834405395</v>
      </c>
      <c r="K73" s="37">
        <f>VLOOKUP(I$6,Data!$A$3:$G$8,5,FALSE)</f>
        <v>0.06</v>
      </c>
      <c r="L73" s="58">
        <f t="shared" ref="L73:L127" si="22">I73*K73</f>
        <v>572.74576688107902</v>
      </c>
      <c r="M73" s="75">
        <f>L73*VLOOKUP(I$6,Data!$A$4:$G$8,2,FALSE)</f>
        <v>3436.4746012864744</v>
      </c>
      <c r="N73" s="75">
        <f t="shared" ref="N73:N127" si="23">J73-M73</f>
        <v>-572.74576688107936</v>
      </c>
      <c r="O73" s="11">
        <f>O72*(1+VLOOKUP(O$6,Data!$A$3:$G$8,6,0))^(1/12)</f>
        <v>10009.935588035527</v>
      </c>
      <c r="P73" s="59">
        <f>O73*VLOOKUP(O$6,Data!$A$4:$G$8,3,FALSE)</f>
        <v>10009.935588035527</v>
      </c>
      <c r="Q73" s="37">
        <f>VLOOKUP(O$6,Data!$A$3:$G$8,5,FALSE)</f>
        <v>0.05</v>
      </c>
      <c r="R73" s="58">
        <f t="shared" ref="R73:R127" si="24">O73*Q73</f>
        <v>500.49677940177639</v>
      </c>
      <c r="S73" s="75">
        <f>R73*VLOOKUP(O$6,Data!$A$4:$G$8,2,FALSE)</f>
        <v>3753.7258455133228</v>
      </c>
      <c r="T73" s="75">
        <f t="shared" ref="T73:T127" si="25">P73-S73</f>
        <v>6256.2097425222037</v>
      </c>
      <c r="U73" s="11">
        <f>U72*(1+VLOOKUP(U$6,Data!$A$3:$G$8,6,0))^(1/12)</f>
        <v>11805.20814124069</v>
      </c>
      <c r="V73" s="59">
        <f>U73*VLOOKUP(U$6,Data!$A$4:$G$8,3,FALSE)</f>
        <v>29513.020353101725</v>
      </c>
      <c r="W73" s="37">
        <f>VLOOKUP(U$6,Data!$A$3:$G$8,5,FALSE)</f>
        <v>7.0000000000000007E-2</v>
      </c>
      <c r="X73" s="58">
        <f t="shared" ref="X73:X127" si="26">U73*W73</f>
        <v>826.36456988684836</v>
      </c>
      <c r="Y73" s="75">
        <f>X73*VLOOKUP(U$6,Data!$A$4:$G$8,2,FALSE)</f>
        <v>7024.0988440382107</v>
      </c>
      <c r="Z73" s="82">
        <f t="shared" ref="Z73:Z127" si="27">V73-Y73</f>
        <v>22488.921509063515</v>
      </c>
      <c r="AA73" s="11">
        <f>AA72*(1+VLOOKUP(AA$6,Data!$A$3:$G$8,6,0))^(1/12)</f>
        <v>11672.923926549825</v>
      </c>
      <c r="AB73" s="59">
        <f>AA73*VLOOKUP(AA$6,Data!$A$4:$G$8,3,FALSE)</f>
        <v>32100.540798012022</v>
      </c>
      <c r="AC73" s="37">
        <f>VLOOKUP(AA$6,Data!$A$3:$G$8,5,FALSE)</f>
        <v>0.08</v>
      </c>
      <c r="AD73" s="58">
        <f t="shared" ref="AD73:AD127" si="28">AA73*AC73</f>
        <v>933.83391412398601</v>
      </c>
      <c r="AE73" s="75">
        <f>AD73*VLOOKUP(AA$6,Data!$A$4:$G$8,2,FALSE)</f>
        <v>9338.3391412398596</v>
      </c>
      <c r="AF73" s="82">
        <f t="shared" ref="AF73:AF127" si="29">AB73-AE73</f>
        <v>22762.201656772162</v>
      </c>
      <c r="AG73" s="61">
        <f t="shared" ref="AG73:AG127" si="30">H73+N73+T73+Z73+AF73</f>
        <v>51693.493379127991</v>
      </c>
      <c r="AH73" s="60">
        <f t="shared" si="17"/>
        <v>35000</v>
      </c>
      <c r="AI73" s="60">
        <f t="shared" ref="AI73:AI127" si="31">AG73-AH73</f>
        <v>16693.493379127991</v>
      </c>
      <c r="AJ73" s="62">
        <f t="shared" si="18"/>
        <v>927783.76875720138</v>
      </c>
    </row>
    <row r="74" spans="1:36" x14ac:dyDescent="0.25">
      <c r="A74" s="2">
        <v>67</v>
      </c>
      <c r="B74" s="36">
        <f t="shared" si="19"/>
        <v>6</v>
      </c>
      <c r="C74" s="11">
        <f>C73*(1+VLOOKUP(C$6,Data!$A$3:$G$8,6,0))^(1/12)</f>
        <v>5067.7308866880148</v>
      </c>
      <c r="D74" s="59">
        <f>C74*VLOOKUP(C$6,Data!$A$4:$G$8,3,FALSE)</f>
        <v>2533.8654433440074</v>
      </c>
      <c r="E74" s="37">
        <f>VLOOKUP(C$6,Data!$A$3:$G$8,5,FALSE)</f>
        <v>7.0000000000000007E-2</v>
      </c>
      <c r="F74" s="58">
        <f t="shared" si="20"/>
        <v>354.74116206816109</v>
      </c>
      <c r="G74" s="75">
        <f>F74*VLOOKUP(C$6,Data!$A$4:$G$8,2,FALSE)</f>
        <v>1773.7058103408053</v>
      </c>
      <c r="H74" s="75">
        <f t="shared" si="21"/>
        <v>760.15963300320209</v>
      </c>
      <c r="I74" s="11">
        <f>I73*(1+VLOOKUP(I$6,Data!$A$3:$G$8,6,0))^(1/12)</f>
        <v>9553.6813554089549</v>
      </c>
      <c r="J74" s="59">
        <f>I74*VLOOKUP(I$6,Data!$A$4:$G$8,3,FALSE)</f>
        <v>2866.1044066226864</v>
      </c>
      <c r="K74" s="37">
        <f>VLOOKUP(I$6,Data!$A$3:$G$8,5,FALSE)</f>
        <v>0.06</v>
      </c>
      <c r="L74" s="58">
        <f t="shared" si="22"/>
        <v>573.22088132453723</v>
      </c>
      <c r="M74" s="75">
        <f>L74*VLOOKUP(I$6,Data!$A$4:$G$8,2,FALSE)</f>
        <v>3439.3252879472234</v>
      </c>
      <c r="N74" s="75">
        <f t="shared" si="23"/>
        <v>-573.220881324537</v>
      </c>
      <c r="O74" s="11">
        <f>O73*(1+VLOOKUP(O$6,Data!$A$3:$G$8,6,0))^(1/12)</f>
        <v>10050.71730468753</v>
      </c>
      <c r="P74" s="59">
        <f>O74*VLOOKUP(O$6,Data!$A$4:$G$8,3,FALSE)</f>
        <v>10050.71730468753</v>
      </c>
      <c r="Q74" s="37">
        <f>VLOOKUP(O$6,Data!$A$3:$G$8,5,FALSE)</f>
        <v>0.05</v>
      </c>
      <c r="R74" s="58">
        <f t="shared" si="24"/>
        <v>502.53586523437656</v>
      </c>
      <c r="S74" s="75">
        <f>R74*VLOOKUP(O$6,Data!$A$4:$G$8,2,FALSE)</f>
        <v>3769.0189892578242</v>
      </c>
      <c r="T74" s="75">
        <f t="shared" si="25"/>
        <v>6281.6983154297068</v>
      </c>
      <c r="U74" s="11">
        <f>U73*(1+VLOOKUP(U$6,Data!$A$3:$G$8,6,0))^(1/12)</f>
        <v>11824.705402272039</v>
      </c>
      <c r="V74" s="59">
        <f>U74*VLOOKUP(U$6,Data!$A$4:$G$8,3,FALSE)</f>
        <v>29561.763505680097</v>
      </c>
      <c r="W74" s="37">
        <f>VLOOKUP(U$6,Data!$A$3:$G$8,5,FALSE)</f>
        <v>7.0000000000000007E-2</v>
      </c>
      <c r="X74" s="58">
        <f t="shared" si="26"/>
        <v>827.72937815904277</v>
      </c>
      <c r="Y74" s="75">
        <f>X74*VLOOKUP(U$6,Data!$A$4:$G$8,2,FALSE)</f>
        <v>7035.6997143518638</v>
      </c>
      <c r="Z74" s="82">
        <f t="shared" si="27"/>
        <v>22526.063791328233</v>
      </c>
      <c r="AA74" s="11">
        <f>AA73*(1+VLOOKUP(AA$6,Data!$A$3:$G$8,6,0))^(1/12)</f>
        <v>11701.712505984277</v>
      </c>
      <c r="AB74" s="59">
        <f>AA74*VLOOKUP(AA$6,Data!$A$4:$G$8,3,FALSE)</f>
        <v>32179.709391456759</v>
      </c>
      <c r="AC74" s="37">
        <f>VLOOKUP(AA$6,Data!$A$3:$G$8,5,FALSE)</f>
        <v>0.08</v>
      </c>
      <c r="AD74" s="58">
        <f t="shared" si="28"/>
        <v>936.13700047874215</v>
      </c>
      <c r="AE74" s="75">
        <f>AD74*VLOOKUP(AA$6,Data!$A$4:$G$8,2,FALSE)</f>
        <v>9361.3700047874208</v>
      </c>
      <c r="AF74" s="82">
        <f t="shared" si="29"/>
        <v>22818.339386669337</v>
      </c>
      <c r="AG74" s="61">
        <f t="shared" si="30"/>
        <v>51813.040245105942</v>
      </c>
      <c r="AH74" s="60">
        <f t="shared" si="17"/>
        <v>35000</v>
      </c>
      <c r="AI74" s="60">
        <f t="shared" si="31"/>
        <v>16813.040245105942</v>
      </c>
      <c r="AJ74" s="62">
        <f t="shared" si="18"/>
        <v>916698.65313226276</v>
      </c>
    </row>
    <row r="75" spans="1:36" x14ac:dyDescent="0.25">
      <c r="A75" s="2">
        <v>68</v>
      </c>
      <c r="B75" s="36">
        <f t="shared" si="19"/>
        <v>6</v>
      </c>
      <c r="C75" s="11">
        <f>C74*(1+VLOOKUP(C$6,Data!$A$3:$G$8,6,0))^(1/12)</f>
        <v>5076.1006562636321</v>
      </c>
      <c r="D75" s="59">
        <f>C75*VLOOKUP(C$6,Data!$A$4:$G$8,3,FALSE)</f>
        <v>2538.0503281318161</v>
      </c>
      <c r="E75" s="37">
        <f>VLOOKUP(C$6,Data!$A$3:$G$8,5,FALSE)</f>
        <v>7.0000000000000007E-2</v>
      </c>
      <c r="F75" s="58">
        <f t="shared" si="20"/>
        <v>355.32704593845426</v>
      </c>
      <c r="G75" s="75">
        <f>F75*VLOOKUP(C$6,Data!$A$4:$G$8,2,FALSE)</f>
        <v>1776.6352296922714</v>
      </c>
      <c r="H75" s="75">
        <f t="shared" si="21"/>
        <v>761.41509843954464</v>
      </c>
      <c r="I75" s="11">
        <f>I74*(1+VLOOKUP(I$6,Data!$A$3:$G$8,6,0))^(1/12)</f>
        <v>9561.6064982255848</v>
      </c>
      <c r="J75" s="59">
        <f>I75*VLOOKUP(I$6,Data!$A$4:$G$8,3,FALSE)</f>
        <v>2868.4819494676753</v>
      </c>
      <c r="K75" s="37">
        <f>VLOOKUP(I$6,Data!$A$3:$G$8,5,FALSE)</f>
        <v>0.06</v>
      </c>
      <c r="L75" s="58">
        <f t="shared" si="22"/>
        <v>573.69638989353507</v>
      </c>
      <c r="M75" s="75">
        <f>L75*VLOOKUP(I$6,Data!$A$4:$G$8,2,FALSE)</f>
        <v>3442.1783393612104</v>
      </c>
      <c r="N75" s="75">
        <f t="shared" si="23"/>
        <v>-573.69638989353507</v>
      </c>
      <c r="O75" s="11">
        <f>O74*(1+VLOOKUP(O$6,Data!$A$3:$G$8,6,0))^(1/12)</f>
        <v>10091.665171101284</v>
      </c>
      <c r="P75" s="59">
        <f>O75*VLOOKUP(O$6,Data!$A$4:$G$8,3,FALSE)</f>
        <v>10091.665171101284</v>
      </c>
      <c r="Q75" s="37">
        <f>VLOOKUP(O$6,Data!$A$3:$G$8,5,FALSE)</f>
        <v>0.05</v>
      </c>
      <c r="R75" s="58">
        <f t="shared" si="24"/>
        <v>504.58325855506422</v>
      </c>
      <c r="S75" s="75">
        <f>R75*VLOOKUP(O$6,Data!$A$4:$G$8,2,FALSE)</f>
        <v>3784.3744391629816</v>
      </c>
      <c r="T75" s="75">
        <f t="shared" si="25"/>
        <v>6307.2907319383021</v>
      </c>
      <c r="U75" s="11">
        <f>U74*(1+VLOOKUP(U$6,Data!$A$3:$G$8,6,0))^(1/12)</f>
        <v>11844.234864615146</v>
      </c>
      <c r="V75" s="59">
        <f>U75*VLOOKUP(U$6,Data!$A$4:$G$8,3,FALSE)</f>
        <v>29610.587161537864</v>
      </c>
      <c r="W75" s="37">
        <f>VLOOKUP(U$6,Data!$A$3:$G$8,5,FALSE)</f>
        <v>7.0000000000000007E-2</v>
      </c>
      <c r="X75" s="58">
        <f t="shared" si="26"/>
        <v>829.09644052306032</v>
      </c>
      <c r="Y75" s="75">
        <f>X75*VLOOKUP(U$6,Data!$A$4:$G$8,2,FALSE)</f>
        <v>7047.3197444460129</v>
      </c>
      <c r="Z75" s="82">
        <f t="shared" si="27"/>
        <v>22563.267417091851</v>
      </c>
      <c r="AA75" s="11">
        <f>AA74*(1+VLOOKUP(AA$6,Data!$A$3:$G$8,6,0))^(1/12)</f>
        <v>11730.572085821974</v>
      </c>
      <c r="AB75" s="59">
        <f>AA75*VLOOKUP(AA$6,Data!$A$4:$G$8,3,FALSE)</f>
        <v>32259.073236010427</v>
      </c>
      <c r="AC75" s="37">
        <f>VLOOKUP(AA$6,Data!$A$3:$G$8,5,FALSE)</f>
        <v>0.08</v>
      </c>
      <c r="AD75" s="58">
        <f t="shared" si="28"/>
        <v>938.44576686575795</v>
      </c>
      <c r="AE75" s="75">
        <f>AD75*VLOOKUP(AA$6,Data!$A$4:$G$8,2,FALSE)</f>
        <v>9384.4576686575801</v>
      </c>
      <c r="AF75" s="82">
        <f t="shared" si="29"/>
        <v>22874.615567352848</v>
      </c>
      <c r="AG75" s="61">
        <f t="shared" si="30"/>
        <v>51932.892424929014</v>
      </c>
      <c r="AH75" s="60">
        <f t="shared" si="17"/>
        <v>35000</v>
      </c>
      <c r="AI75" s="60">
        <f t="shared" si="31"/>
        <v>16932.892424929014</v>
      </c>
      <c r="AJ75" s="62">
        <f t="shared" si="18"/>
        <v>905426.98201501858</v>
      </c>
    </row>
    <row r="76" spans="1:36" x14ac:dyDescent="0.25">
      <c r="A76" s="2">
        <v>69</v>
      </c>
      <c r="B76" s="36">
        <f t="shared" si="19"/>
        <v>6</v>
      </c>
      <c r="C76" s="11">
        <f>C75*(1+VLOOKUP(C$6,Data!$A$3:$G$8,6,0))^(1/12)</f>
        <v>5084.4842491941818</v>
      </c>
      <c r="D76" s="59">
        <f>C76*VLOOKUP(C$6,Data!$A$4:$G$8,3,FALSE)</f>
        <v>2542.2421245970909</v>
      </c>
      <c r="E76" s="37">
        <f>VLOOKUP(C$6,Data!$A$3:$G$8,5,FALSE)</f>
        <v>7.0000000000000007E-2</v>
      </c>
      <c r="F76" s="58">
        <f t="shared" si="20"/>
        <v>355.91389744359276</v>
      </c>
      <c r="G76" s="75">
        <f>F76*VLOOKUP(C$6,Data!$A$4:$G$8,2,FALSE)</f>
        <v>1779.5694872179638</v>
      </c>
      <c r="H76" s="75">
        <f t="shared" si="21"/>
        <v>762.67263737912708</v>
      </c>
      <c r="I76" s="11">
        <f>I75*(1+VLOOKUP(I$6,Data!$A$3:$G$8,6,0))^(1/12)</f>
        <v>9569.5382152502425</v>
      </c>
      <c r="J76" s="59">
        <f>I76*VLOOKUP(I$6,Data!$A$4:$G$8,3,FALSE)</f>
        <v>2870.8614645750727</v>
      </c>
      <c r="K76" s="37">
        <f>VLOOKUP(I$6,Data!$A$3:$G$8,5,FALSE)</f>
        <v>0.06</v>
      </c>
      <c r="L76" s="58">
        <f t="shared" si="22"/>
        <v>574.17229291501451</v>
      </c>
      <c r="M76" s="75">
        <f>L76*VLOOKUP(I$6,Data!$A$4:$G$8,2,FALSE)</f>
        <v>3445.0337574900868</v>
      </c>
      <c r="N76" s="75">
        <f t="shared" si="23"/>
        <v>-574.17229291501417</v>
      </c>
      <c r="O76" s="11">
        <f>O75*(1+VLOOKUP(O$6,Data!$A$3:$G$8,6,0))^(1/12)</f>
        <v>10132.779864191483</v>
      </c>
      <c r="P76" s="59">
        <f>O76*VLOOKUP(O$6,Data!$A$4:$G$8,3,FALSE)</f>
        <v>10132.779864191483</v>
      </c>
      <c r="Q76" s="37">
        <f>VLOOKUP(O$6,Data!$A$3:$G$8,5,FALSE)</f>
        <v>0.05</v>
      </c>
      <c r="R76" s="58">
        <f t="shared" si="24"/>
        <v>506.63899320957421</v>
      </c>
      <c r="S76" s="75">
        <f>R76*VLOOKUP(O$6,Data!$A$4:$G$8,2,FALSE)</f>
        <v>3799.7924490718065</v>
      </c>
      <c r="T76" s="75">
        <f t="shared" si="25"/>
        <v>6332.9874151196764</v>
      </c>
      <c r="U76" s="11">
        <f>U75*(1+VLOOKUP(U$6,Data!$A$3:$G$8,6,0))^(1/12)</f>
        <v>11863.796581453096</v>
      </c>
      <c r="V76" s="59">
        <f>U76*VLOOKUP(U$6,Data!$A$4:$G$8,3,FALSE)</f>
        <v>29659.491453632741</v>
      </c>
      <c r="W76" s="37">
        <f>VLOOKUP(U$6,Data!$A$3:$G$8,5,FALSE)</f>
        <v>7.0000000000000007E-2</v>
      </c>
      <c r="X76" s="58">
        <f t="shared" si="26"/>
        <v>830.46576070171682</v>
      </c>
      <c r="Y76" s="75">
        <f>X76*VLOOKUP(U$6,Data!$A$4:$G$8,2,FALSE)</f>
        <v>7058.9589659645926</v>
      </c>
      <c r="Z76" s="82">
        <f t="shared" si="27"/>
        <v>22600.532487668148</v>
      </c>
      <c r="AA76" s="11">
        <f>AA75*(1+VLOOKUP(AA$6,Data!$A$3:$G$8,6,0))^(1/12)</f>
        <v>11759.502841169066</v>
      </c>
      <c r="AB76" s="59">
        <f>AA76*VLOOKUP(AA$6,Data!$A$4:$G$8,3,FALSE)</f>
        <v>32338.632813214928</v>
      </c>
      <c r="AC76" s="37">
        <f>VLOOKUP(AA$6,Data!$A$3:$G$8,5,FALSE)</f>
        <v>0.08</v>
      </c>
      <c r="AD76" s="58">
        <f t="shared" si="28"/>
        <v>940.7602272935253</v>
      </c>
      <c r="AE76" s="75">
        <f>AD76*VLOOKUP(AA$6,Data!$A$4:$G$8,2,FALSE)</f>
        <v>9407.6022729352535</v>
      </c>
      <c r="AF76" s="82">
        <f t="shared" si="29"/>
        <v>22931.030540279673</v>
      </c>
      <c r="AG76" s="61">
        <f t="shared" si="30"/>
        <v>52053.050787531611</v>
      </c>
      <c r="AH76" s="60">
        <f t="shared" si="17"/>
        <v>35000</v>
      </c>
      <c r="AI76" s="60">
        <f t="shared" si="31"/>
        <v>17053.050787531611</v>
      </c>
      <c r="AJ76" s="62">
        <f t="shared" si="18"/>
        <v>893967.3223787793</v>
      </c>
    </row>
    <row r="77" spans="1:36" x14ac:dyDescent="0.25">
      <c r="A77" s="2">
        <v>70</v>
      </c>
      <c r="B77" s="36">
        <f t="shared" si="19"/>
        <v>6</v>
      </c>
      <c r="C77" s="11">
        <f>C76*(1+VLOOKUP(C$6,Data!$A$3:$G$8,6,0))^(1/12)</f>
        <v>5092.881688310059</v>
      </c>
      <c r="D77" s="59">
        <f>C77*VLOOKUP(C$6,Data!$A$4:$G$8,3,FALSE)</f>
        <v>2546.4408441550295</v>
      </c>
      <c r="E77" s="37">
        <f>VLOOKUP(C$6,Data!$A$3:$G$8,5,FALSE)</f>
        <v>7.0000000000000007E-2</v>
      </c>
      <c r="F77" s="58">
        <f t="shared" si="20"/>
        <v>356.50171818170418</v>
      </c>
      <c r="G77" s="75">
        <f>F77*VLOOKUP(C$6,Data!$A$4:$G$8,2,FALSE)</f>
        <v>1782.508590908521</v>
      </c>
      <c r="H77" s="75">
        <f t="shared" si="21"/>
        <v>763.93225324650848</v>
      </c>
      <c r="I77" s="11">
        <f>I76*(1+VLOOKUP(I$6,Data!$A$3:$G$8,6,0))^(1/12)</f>
        <v>9577.4765119364856</v>
      </c>
      <c r="J77" s="59">
        <f>I77*VLOOKUP(I$6,Data!$A$4:$G$8,3,FALSE)</f>
        <v>2873.2429535809456</v>
      </c>
      <c r="K77" s="37">
        <f>VLOOKUP(I$6,Data!$A$3:$G$8,5,FALSE)</f>
        <v>0.06</v>
      </c>
      <c r="L77" s="58">
        <f t="shared" si="22"/>
        <v>574.64859071618912</v>
      </c>
      <c r="M77" s="75">
        <f>L77*VLOOKUP(I$6,Data!$A$4:$G$8,2,FALSE)</f>
        <v>3447.8915442971347</v>
      </c>
      <c r="N77" s="75">
        <f t="shared" si="23"/>
        <v>-574.64859071618912</v>
      </c>
      <c r="O77" s="11">
        <f>O76*(1+VLOOKUP(O$6,Data!$A$3:$G$8,6,0))^(1/12)</f>
        <v>10174.062063630659</v>
      </c>
      <c r="P77" s="59">
        <f>O77*VLOOKUP(O$6,Data!$A$4:$G$8,3,FALSE)</f>
        <v>10174.062063630659</v>
      </c>
      <c r="Q77" s="37">
        <f>VLOOKUP(O$6,Data!$A$3:$G$8,5,FALSE)</f>
        <v>0.05</v>
      </c>
      <c r="R77" s="58">
        <f t="shared" si="24"/>
        <v>508.70310318153298</v>
      </c>
      <c r="S77" s="75">
        <f>R77*VLOOKUP(O$6,Data!$A$4:$G$8,2,FALSE)</f>
        <v>3815.2732738614973</v>
      </c>
      <c r="T77" s="75">
        <f t="shared" si="25"/>
        <v>6358.7887897691617</v>
      </c>
      <c r="U77" s="11">
        <f>U76*(1+VLOOKUP(U$6,Data!$A$3:$G$8,6,0))^(1/12)</f>
        <v>11883.39060605681</v>
      </c>
      <c r="V77" s="59">
        <f>U77*VLOOKUP(U$6,Data!$A$4:$G$8,3,FALSE)</f>
        <v>29708.476515142025</v>
      </c>
      <c r="W77" s="37">
        <f>VLOOKUP(U$6,Data!$A$3:$G$8,5,FALSE)</f>
        <v>7.0000000000000007E-2</v>
      </c>
      <c r="X77" s="58">
        <f t="shared" si="26"/>
        <v>831.83734242397679</v>
      </c>
      <c r="Y77" s="75">
        <f>X77*VLOOKUP(U$6,Data!$A$4:$G$8,2,FALSE)</f>
        <v>7070.6174106038025</v>
      </c>
      <c r="Z77" s="82">
        <f t="shared" si="27"/>
        <v>22637.859104538224</v>
      </c>
      <c r="AA77" s="11">
        <f>AA76*(1+VLOOKUP(AA$6,Data!$A$3:$G$8,6,0))^(1/12)</f>
        <v>11788.504947563561</v>
      </c>
      <c r="AB77" s="59">
        <f>AA77*VLOOKUP(AA$6,Data!$A$4:$G$8,3,FALSE)</f>
        <v>32418.388605799792</v>
      </c>
      <c r="AC77" s="37">
        <f>VLOOKUP(AA$6,Data!$A$3:$G$8,5,FALSE)</f>
        <v>0.08</v>
      </c>
      <c r="AD77" s="58">
        <f t="shared" si="28"/>
        <v>943.08039580508489</v>
      </c>
      <c r="AE77" s="75">
        <f>AD77*VLOOKUP(AA$6,Data!$A$4:$G$8,2,FALSE)</f>
        <v>9430.8039580508485</v>
      </c>
      <c r="AF77" s="82">
        <f t="shared" si="29"/>
        <v>22987.584647748943</v>
      </c>
      <c r="AG77" s="61">
        <f t="shared" si="30"/>
        <v>52173.516204586645</v>
      </c>
      <c r="AH77" s="60">
        <f t="shared" si="17"/>
        <v>35000</v>
      </c>
      <c r="AI77" s="60">
        <f t="shared" si="31"/>
        <v>17173.516204586645</v>
      </c>
      <c r="AJ77" s="62">
        <f t="shared" si="18"/>
        <v>882318.23166539019</v>
      </c>
    </row>
    <row r="78" spans="1:36" x14ac:dyDescent="0.25">
      <c r="A78" s="2">
        <v>71</v>
      </c>
      <c r="B78" s="36">
        <f t="shared" si="19"/>
        <v>6</v>
      </c>
      <c r="C78" s="11">
        <f>C77*(1+VLOOKUP(C$6,Data!$A$3:$G$8,6,0))^(1/12)</f>
        <v>5101.2929964793639</v>
      </c>
      <c r="D78" s="59">
        <f>C78*VLOOKUP(C$6,Data!$A$4:$G$8,3,FALSE)</f>
        <v>2550.6464982396819</v>
      </c>
      <c r="E78" s="37">
        <f>VLOOKUP(C$6,Data!$A$3:$G$8,5,FALSE)</f>
        <v>7.0000000000000007E-2</v>
      </c>
      <c r="F78" s="58">
        <f t="shared" si="20"/>
        <v>357.09050975355552</v>
      </c>
      <c r="G78" s="75">
        <f>F78*VLOOKUP(C$6,Data!$A$4:$G$8,2,FALSE)</f>
        <v>1785.4525487677777</v>
      </c>
      <c r="H78" s="75">
        <f t="shared" si="21"/>
        <v>765.19394947190426</v>
      </c>
      <c r="I78" s="11">
        <f>I77*(1+VLOOKUP(I$6,Data!$A$3:$G$8,6,0))^(1/12)</f>
        <v>9585.421393742392</v>
      </c>
      <c r="J78" s="59">
        <f>I78*VLOOKUP(I$6,Data!$A$4:$G$8,3,FALSE)</f>
        <v>2875.6264181227175</v>
      </c>
      <c r="K78" s="37">
        <f>VLOOKUP(I$6,Data!$A$3:$G$8,5,FALSE)</f>
        <v>0.06</v>
      </c>
      <c r="L78" s="58">
        <f t="shared" si="22"/>
        <v>575.1252836245435</v>
      </c>
      <c r="M78" s="75">
        <f>L78*VLOOKUP(I$6,Data!$A$4:$G$8,2,FALSE)</f>
        <v>3450.751701747261</v>
      </c>
      <c r="N78" s="75">
        <f t="shared" si="23"/>
        <v>-575.1252836245435</v>
      </c>
      <c r="O78" s="11">
        <f>O77*(1+VLOOKUP(O$6,Data!$A$3:$G$8,6,0))^(1/12)</f>
        <v>10215.512451860412</v>
      </c>
      <c r="P78" s="59">
        <f>O78*VLOOKUP(O$6,Data!$A$4:$G$8,3,FALSE)</f>
        <v>10215.512451860412</v>
      </c>
      <c r="Q78" s="37">
        <f>VLOOKUP(O$6,Data!$A$3:$G$8,5,FALSE)</f>
        <v>0.05</v>
      </c>
      <c r="R78" s="58">
        <f t="shared" si="24"/>
        <v>510.77562259302061</v>
      </c>
      <c r="S78" s="75">
        <f>R78*VLOOKUP(O$6,Data!$A$4:$G$8,2,FALSE)</f>
        <v>3830.8171694476546</v>
      </c>
      <c r="T78" s="75">
        <f t="shared" si="25"/>
        <v>6384.6952824127566</v>
      </c>
      <c r="U78" s="11">
        <f>U77*(1+VLOOKUP(U$6,Data!$A$3:$G$8,6,0))^(1/12)</f>
        <v>11903.016991785187</v>
      </c>
      <c r="V78" s="59">
        <f>U78*VLOOKUP(U$6,Data!$A$4:$G$8,3,FALSE)</f>
        <v>29757.542479462969</v>
      </c>
      <c r="W78" s="37">
        <f>VLOOKUP(U$6,Data!$A$3:$G$8,5,FALSE)</f>
        <v>7.0000000000000007E-2</v>
      </c>
      <c r="X78" s="58">
        <f t="shared" si="26"/>
        <v>833.21118942496321</v>
      </c>
      <c r="Y78" s="75">
        <f>X78*VLOOKUP(U$6,Data!$A$4:$G$8,2,FALSE)</f>
        <v>7082.2951101121871</v>
      </c>
      <c r="Z78" s="82">
        <f t="shared" si="27"/>
        <v>22675.247369350782</v>
      </c>
      <c r="AA78" s="11">
        <f>AA77*(1+VLOOKUP(AA$6,Data!$A$3:$G$8,6,0))^(1/12)</f>
        <v>11817.578580976389</v>
      </c>
      <c r="AB78" s="59">
        <f>AA78*VLOOKUP(AA$6,Data!$A$4:$G$8,3,FALSE)</f>
        <v>32498.341097685072</v>
      </c>
      <c r="AC78" s="37">
        <f>VLOOKUP(AA$6,Data!$A$3:$G$8,5,FALSE)</f>
        <v>0.08</v>
      </c>
      <c r="AD78" s="58">
        <f t="shared" si="28"/>
        <v>945.40628647811116</v>
      </c>
      <c r="AE78" s="75">
        <f>AD78*VLOOKUP(AA$6,Data!$A$4:$G$8,2,FALSE)</f>
        <v>9454.0628647811118</v>
      </c>
      <c r="AF78" s="82">
        <f t="shared" si="29"/>
        <v>23044.278232903962</v>
      </c>
      <c r="AG78" s="61">
        <f t="shared" si="30"/>
        <v>52294.289550514863</v>
      </c>
      <c r="AH78" s="60">
        <f t="shared" si="17"/>
        <v>35000</v>
      </c>
      <c r="AI78" s="60">
        <f t="shared" si="31"/>
        <v>17294.289550514863</v>
      </c>
      <c r="AJ78" s="62">
        <f t="shared" si="18"/>
        <v>870478.2577248771</v>
      </c>
    </row>
    <row r="79" spans="1:36" x14ac:dyDescent="0.25">
      <c r="A79" s="2">
        <v>72</v>
      </c>
      <c r="B79" s="36">
        <f t="shared" si="19"/>
        <v>6</v>
      </c>
      <c r="C79" s="11">
        <f>C78*(1+VLOOKUP(C$6,Data!$A$3:$G$8,6,0))^(1/12)</f>
        <v>5109.7181966079661</v>
      </c>
      <c r="D79" s="59">
        <f>C79*VLOOKUP(C$6,Data!$A$4:$G$8,3,FALSE)</f>
        <v>2554.859098303983</v>
      </c>
      <c r="E79" s="37">
        <f>VLOOKUP(C$6,Data!$A$3:$G$8,5,FALSE)</f>
        <v>7.0000000000000007E-2</v>
      </c>
      <c r="F79" s="58">
        <f t="shared" si="20"/>
        <v>357.68027376255765</v>
      </c>
      <c r="G79" s="75">
        <f>F79*VLOOKUP(C$6,Data!$A$4:$G$8,2,FALSE)</f>
        <v>1788.4013688127882</v>
      </c>
      <c r="H79" s="75">
        <f t="shared" si="21"/>
        <v>766.45772949119487</v>
      </c>
      <c r="I79" s="11">
        <f>I78*(1+VLOOKUP(I$6,Data!$A$3:$G$8,6,0))^(1/12)</f>
        <v>9593.3728661305704</v>
      </c>
      <c r="J79" s="59">
        <f>I79*VLOOKUP(I$6,Data!$A$4:$G$8,3,FALSE)</f>
        <v>2878.0118598391709</v>
      </c>
      <c r="K79" s="37">
        <f>VLOOKUP(I$6,Data!$A$3:$G$8,5,FALSE)</f>
        <v>0.06</v>
      </c>
      <c r="L79" s="58">
        <f t="shared" si="22"/>
        <v>575.60237196783419</v>
      </c>
      <c r="M79" s="75">
        <f>L79*VLOOKUP(I$6,Data!$A$4:$G$8,2,FALSE)</f>
        <v>3453.6142318070051</v>
      </c>
      <c r="N79" s="75">
        <f t="shared" si="23"/>
        <v>-575.60237196783419</v>
      </c>
      <c r="O79" s="11">
        <f>O78*(1+VLOOKUP(O$6,Data!$A$3:$G$8,6,0))^(1/12)</f>
        <v>10257.131714102692</v>
      </c>
      <c r="P79" s="59">
        <f>O79*VLOOKUP(O$6,Data!$A$4:$G$8,3,FALSE)</f>
        <v>10257.131714102692</v>
      </c>
      <c r="Q79" s="37">
        <f>VLOOKUP(O$6,Data!$A$3:$G$8,5,FALSE)</f>
        <v>0.05</v>
      </c>
      <c r="R79" s="58">
        <f t="shared" si="24"/>
        <v>512.85658570513465</v>
      </c>
      <c r="S79" s="75">
        <f>R79*VLOOKUP(O$6,Data!$A$4:$G$8,2,FALSE)</f>
        <v>3846.42439278851</v>
      </c>
      <c r="T79" s="75">
        <f t="shared" si="25"/>
        <v>6410.7073213141821</v>
      </c>
      <c r="U79" s="11">
        <f>U78*(1+VLOOKUP(U$6,Data!$A$3:$G$8,6,0))^(1/12)</f>
        <v>11922.675792085258</v>
      </c>
      <c r="V79" s="59">
        <f>U79*VLOOKUP(U$6,Data!$A$4:$G$8,3,FALSE)</f>
        <v>29806.689480213143</v>
      </c>
      <c r="W79" s="37">
        <f>VLOOKUP(U$6,Data!$A$3:$G$8,5,FALSE)</f>
        <v>7.0000000000000007E-2</v>
      </c>
      <c r="X79" s="58">
        <f t="shared" si="26"/>
        <v>834.58730544596813</v>
      </c>
      <c r="Y79" s="75">
        <f>X79*VLOOKUP(U$6,Data!$A$4:$G$8,2,FALSE)</f>
        <v>7093.992096290729</v>
      </c>
      <c r="Z79" s="82">
        <f t="shared" si="27"/>
        <v>22712.697383922416</v>
      </c>
      <c r="AA79" s="11">
        <f>AA78*(1+VLOOKUP(AA$6,Data!$A$3:$G$8,6,0))^(1/12)</f>
        <v>11846.723917812475</v>
      </c>
      <c r="AB79" s="59">
        <f>AA79*VLOOKUP(AA$6,Data!$A$4:$G$8,3,FALSE)</f>
        <v>32578.490773984304</v>
      </c>
      <c r="AC79" s="37">
        <f>VLOOKUP(AA$6,Data!$A$3:$G$8,5,FALSE)</f>
        <v>0.08</v>
      </c>
      <c r="AD79" s="58">
        <f t="shared" si="28"/>
        <v>947.73791342499794</v>
      </c>
      <c r="AE79" s="75">
        <f>AD79*VLOOKUP(AA$6,Data!$A$4:$G$8,2,FALSE)</f>
        <v>9477.379134249979</v>
      </c>
      <c r="AF79" s="82">
        <f t="shared" si="29"/>
        <v>23101.111639734325</v>
      </c>
      <c r="AG79" s="61">
        <f t="shared" si="30"/>
        <v>52415.371702494289</v>
      </c>
      <c r="AH79" s="60">
        <f t="shared" si="17"/>
        <v>35000</v>
      </c>
      <c r="AI79" s="60">
        <f t="shared" si="31"/>
        <v>17415.371702494289</v>
      </c>
      <c r="AJ79" s="62">
        <f t="shared" si="18"/>
        <v>858445.93875471561</v>
      </c>
    </row>
    <row r="80" spans="1:36" x14ac:dyDescent="0.25">
      <c r="A80" s="2">
        <v>73</v>
      </c>
      <c r="B80" s="36">
        <f t="shared" si="19"/>
        <v>7</v>
      </c>
      <c r="C80" s="11">
        <f>C79*(1+VLOOKUP(C$6,Data!$A$3:$G$8,6,0))^(1/12)</f>
        <v>5118.1573116395657</v>
      </c>
      <c r="D80" s="59">
        <f>C80*VLOOKUP(C$6,Data!$A$4:$G$8,3,FALSE)</f>
        <v>2559.0786558197829</v>
      </c>
      <c r="E80" s="37">
        <f>VLOOKUP(C$6,Data!$A$3:$G$8,5,FALSE)</f>
        <v>7.0000000000000007E-2</v>
      </c>
      <c r="F80" s="58">
        <f t="shared" si="20"/>
        <v>358.27101181476962</v>
      </c>
      <c r="G80" s="75">
        <f>F80*VLOOKUP(C$6,Data!$A$4:$G$8,2,FALSE)</f>
        <v>1791.3550590738482</v>
      </c>
      <c r="H80" s="75">
        <f t="shared" si="21"/>
        <v>767.72359674593463</v>
      </c>
      <c r="I80" s="11">
        <f>I79*(1+VLOOKUP(I$6,Data!$A$3:$G$8,6,0))^(1/12)</f>
        <v>9601.3309345681591</v>
      </c>
      <c r="J80" s="59">
        <f>I80*VLOOKUP(I$6,Data!$A$4:$G$8,3,FALSE)</f>
        <v>2880.3992803704477</v>
      </c>
      <c r="K80" s="37">
        <f>VLOOKUP(I$6,Data!$A$3:$G$8,5,FALSE)</f>
        <v>0.06</v>
      </c>
      <c r="L80" s="58">
        <f t="shared" si="22"/>
        <v>576.07985607408955</v>
      </c>
      <c r="M80" s="75">
        <f>L80*VLOOKUP(I$6,Data!$A$4:$G$8,2,FALSE)</f>
        <v>3456.4791364445373</v>
      </c>
      <c r="N80" s="75">
        <f t="shared" si="23"/>
        <v>-576.07985607408955</v>
      </c>
      <c r="O80" s="11">
        <f>O79*(1+VLOOKUP(O$6,Data!$A$3:$G$8,6,0))^(1/12)</f>
        <v>10298.920538371132</v>
      </c>
      <c r="P80" s="59">
        <f>O80*VLOOKUP(O$6,Data!$A$4:$G$8,3,FALSE)</f>
        <v>10298.920538371132</v>
      </c>
      <c r="Q80" s="37">
        <f>VLOOKUP(O$6,Data!$A$3:$G$8,5,FALSE)</f>
        <v>0.05</v>
      </c>
      <c r="R80" s="58">
        <f t="shared" si="24"/>
        <v>514.94602691855664</v>
      </c>
      <c r="S80" s="75">
        <f>R80*VLOOKUP(O$6,Data!$A$4:$G$8,2,FALSE)</f>
        <v>3862.0952018891749</v>
      </c>
      <c r="T80" s="75">
        <f t="shared" si="25"/>
        <v>6436.8253364819575</v>
      </c>
      <c r="U80" s="11">
        <f>U79*(1+VLOOKUP(U$6,Data!$A$3:$G$8,6,0))^(1/12)</f>
        <v>11942.367060492323</v>
      </c>
      <c r="V80" s="59">
        <f>U80*VLOOKUP(U$6,Data!$A$4:$G$8,3,FALSE)</f>
        <v>29855.917651230808</v>
      </c>
      <c r="W80" s="37">
        <f>VLOOKUP(U$6,Data!$A$3:$G$8,5,FALSE)</f>
        <v>7.0000000000000007E-2</v>
      </c>
      <c r="X80" s="58">
        <f t="shared" si="26"/>
        <v>835.96569423446272</v>
      </c>
      <c r="Y80" s="75">
        <f>X80*VLOOKUP(U$6,Data!$A$4:$G$8,2,FALSE)</f>
        <v>7105.7084009929331</v>
      </c>
      <c r="Z80" s="82">
        <f t="shared" si="27"/>
        <v>22750.209250237873</v>
      </c>
      <c r="AA80" s="11">
        <f>AA79*(1+VLOOKUP(AA$6,Data!$A$3:$G$8,6,0))^(1/12)</f>
        <v>11875.941134911802</v>
      </c>
      <c r="AB80" s="59">
        <f>AA80*VLOOKUP(AA$6,Data!$A$4:$G$8,3,FALSE)</f>
        <v>32658.838121007455</v>
      </c>
      <c r="AC80" s="37">
        <f>VLOOKUP(AA$6,Data!$A$3:$G$8,5,FALSE)</f>
        <v>0.08</v>
      </c>
      <c r="AD80" s="58">
        <f t="shared" si="28"/>
        <v>950.0752907929442</v>
      </c>
      <c r="AE80" s="75">
        <f>AD80*VLOOKUP(AA$6,Data!$A$4:$G$8,2,FALSE)</f>
        <v>9500.7529079294418</v>
      </c>
      <c r="AF80" s="82">
        <f t="shared" si="29"/>
        <v>23158.085213078011</v>
      </c>
      <c r="AG80" s="61">
        <f t="shared" si="30"/>
        <v>52536.763540469685</v>
      </c>
      <c r="AH80" s="60">
        <f t="shared" si="17"/>
        <v>35000</v>
      </c>
      <c r="AI80" s="60">
        <f t="shared" si="31"/>
        <v>17536.763540469685</v>
      </c>
      <c r="AJ80" s="62">
        <f t="shared" si="18"/>
        <v>846219.80323872564</v>
      </c>
    </row>
    <row r="81" spans="1:36" x14ac:dyDescent="0.25">
      <c r="A81" s="2">
        <v>74</v>
      </c>
      <c r="B81" s="36">
        <f t="shared" si="19"/>
        <v>7</v>
      </c>
      <c r="C81" s="11">
        <f>C80*(1+VLOOKUP(C$6,Data!$A$3:$G$8,6,0))^(1/12)</f>
        <v>5126.610364555756</v>
      </c>
      <c r="D81" s="59">
        <f>C81*VLOOKUP(C$6,Data!$A$4:$G$8,3,FALSE)</f>
        <v>2563.305182277878</v>
      </c>
      <c r="E81" s="37">
        <f>VLOOKUP(C$6,Data!$A$3:$G$8,5,FALSE)</f>
        <v>7.0000000000000007E-2</v>
      </c>
      <c r="F81" s="58">
        <f t="shared" si="20"/>
        <v>358.86272551890295</v>
      </c>
      <c r="G81" s="75">
        <f>F81*VLOOKUP(C$6,Data!$A$4:$G$8,2,FALSE)</f>
        <v>1794.3136275945149</v>
      </c>
      <c r="H81" s="75">
        <f t="shared" si="21"/>
        <v>768.99155468336312</v>
      </c>
      <c r="I81" s="11">
        <f>I80*(1+VLOOKUP(I$6,Data!$A$3:$G$8,6,0))^(1/12)</f>
        <v>9609.2956045268347</v>
      </c>
      <c r="J81" s="59">
        <f>I81*VLOOKUP(I$6,Data!$A$4:$G$8,3,FALSE)</f>
        <v>2882.7886813580503</v>
      </c>
      <c r="K81" s="37">
        <f>VLOOKUP(I$6,Data!$A$3:$G$8,5,FALSE)</f>
        <v>0.06</v>
      </c>
      <c r="L81" s="58">
        <f t="shared" si="22"/>
        <v>576.55773627161011</v>
      </c>
      <c r="M81" s="75">
        <f>L81*VLOOKUP(I$6,Data!$A$4:$G$8,2,FALSE)</f>
        <v>3459.3464176296607</v>
      </c>
      <c r="N81" s="75">
        <f t="shared" si="23"/>
        <v>-576.55773627161034</v>
      </c>
      <c r="O81" s="11">
        <f>O80*(1+VLOOKUP(O$6,Data!$A$3:$G$8,6,0))^(1/12)</f>
        <v>10340.879615482414</v>
      </c>
      <c r="P81" s="59">
        <f>O81*VLOOKUP(O$6,Data!$A$4:$G$8,3,FALSE)</f>
        <v>10340.879615482414</v>
      </c>
      <c r="Q81" s="37">
        <f>VLOOKUP(O$6,Data!$A$3:$G$8,5,FALSE)</f>
        <v>0.05</v>
      </c>
      <c r="R81" s="58">
        <f t="shared" si="24"/>
        <v>517.04398077412077</v>
      </c>
      <c r="S81" s="75">
        <f>R81*VLOOKUP(O$6,Data!$A$4:$G$8,2,FALSE)</f>
        <v>3877.8298558059059</v>
      </c>
      <c r="T81" s="75">
        <f t="shared" si="25"/>
        <v>6463.0497596765081</v>
      </c>
      <c r="U81" s="11">
        <f>U80*(1+VLOOKUP(U$6,Data!$A$3:$G$8,6,0))^(1/12)</f>
        <v>11962.0908506301</v>
      </c>
      <c r="V81" s="59">
        <f>U81*VLOOKUP(U$6,Data!$A$4:$G$8,3,FALSE)</f>
        <v>29905.22712657525</v>
      </c>
      <c r="W81" s="37">
        <f>VLOOKUP(U$6,Data!$A$3:$G$8,5,FALSE)</f>
        <v>7.0000000000000007E-2</v>
      </c>
      <c r="X81" s="58">
        <f t="shared" si="26"/>
        <v>837.34635954410714</v>
      </c>
      <c r="Y81" s="75">
        <f>X81*VLOOKUP(U$6,Data!$A$4:$G$8,2,FALSE)</f>
        <v>7117.4440561249103</v>
      </c>
      <c r="Z81" s="82">
        <f t="shared" si="27"/>
        <v>22787.783070450339</v>
      </c>
      <c r="AA81" s="11">
        <f>AA80*(1+VLOOKUP(AA$6,Data!$A$3:$G$8,6,0))^(1/12)</f>
        <v>11905.230409550493</v>
      </c>
      <c r="AB81" s="59">
        <f>AA81*VLOOKUP(AA$6,Data!$A$4:$G$8,3,FALSE)</f>
        <v>32739.383626263858</v>
      </c>
      <c r="AC81" s="37">
        <f>VLOOKUP(AA$6,Data!$A$3:$G$8,5,FALSE)</f>
        <v>0.08</v>
      </c>
      <c r="AD81" s="58">
        <f t="shared" si="28"/>
        <v>952.41843276403949</v>
      </c>
      <c r="AE81" s="75">
        <f>AD81*VLOOKUP(AA$6,Data!$A$4:$G$8,2,FALSE)</f>
        <v>9524.1843276403943</v>
      </c>
      <c r="AF81" s="82">
        <f t="shared" si="29"/>
        <v>23215.199298623462</v>
      </c>
      <c r="AG81" s="61">
        <f t="shared" si="30"/>
        <v>52658.465947162062</v>
      </c>
      <c r="AH81" s="60">
        <f t="shared" si="17"/>
        <v>35000</v>
      </c>
      <c r="AI81" s="60">
        <f t="shared" si="31"/>
        <v>17658.465947162062</v>
      </c>
      <c r="AJ81" s="62">
        <f t="shared" si="18"/>
        <v>833798.36988558609</v>
      </c>
    </row>
    <row r="82" spans="1:36" x14ac:dyDescent="0.25">
      <c r="A82" s="2">
        <v>75</v>
      </c>
      <c r="B82" s="36">
        <f t="shared" si="19"/>
        <v>7</v>
      </c>
      <c r="C82" s="11">
        <f>C81*(1+VLOOKUP(C$6,Data!$A$3:$G$8,6,0))^(1/12)</f>
        <v>5135.0773783760869</v>
      </c>
      <c r="D82" s="59">
        <f>C82*VLOOKUP(C$6,Data!$A$4:$G$8,3,FALSE)</f>
        <v>2567.5386891880435</v>
      </c>
      <c r="E82" s="37">
        <f>VLOOKUP(C$6,Data!$A$3:$G$8,5,FALSE)</f>
        <v>7.0000000000000007E-2</v>
      </c>
      <c r="F82" s="58">
        <f t="shared" si="20"/>
        <v>359.4554164863261</v>
      </c>
      <c r="G82" s="75">
        <f>F82*VLOOKUP(C$6,Data!$A$4:$G$8,2,FALSE)</f>
        <v>1797.2770824316306</v>
      </c>
      <c r="H82" s="75">
        <f t="shared" si="21"/>
        <v>770.2616067564129</v>
      </c>
      <c r="I82" s="11">
        <f>I81*(1+VLOOKUP(I$6,Data!$A$3:$G$8,6,0))^(1/12)</f>
        <v>9617.2668814828085</v>
      </c>
      <c r="J82" s="59">
        <f>I82*VLOOKUP(I$6,Data!$A$4:$G$8,3,FALSE)</f>
        <v>2885.1800644448426</v>
      </c>
      <c r="K82" s="37">
        <f>VLOOKUP(I$6,Data!$A$3:$G$8,5,FALSE)</f>
        <v>0.06</v>
      </c>
      <c r="L82" s="58">
        <f t="shared" si="22"/>
        <v>577.03601288896846</v>
      </c>
      <c r="M82" s="75">
        <f>L82*VLOOKUP(I$6,Data!$A$4:$G$8,2,FALSE)</f>
        <v>3462.216077333811</v>
      </c>
      <c r="N82" s="75">
        <f t="shared" si="23"/>
        <v>-577.03601288896834</v>
      </c>
      <c r="O82" s="11">
        <f>O81*(1+VLOOKUP(O$6,Data!$A$3:$G$8,6,0))^(1/12)</f>
        <v>10383.009639067695</v>
      </c>
      <c r="P82" s="59">
        <f>O82*VLOOKUP(O$6,Data!$A$4:$G$8,3,FALSE)</f>
        <v>10383.009639067695</v>
      </c>
      <c r="Q82" s="37">
        <f>VLOOKUP(O$6,Data!$A$3:$G$8,5,FALSE)</f>
        <v>0.05</v>
      </c>
      <c r="R82" s="58">
        <f t="shared" si="24"/>
        <v>519.15048195338477</v>
      </c>
      <c r="S82" s="75">
        <f>R82*VLOOKUP(O$6,Data!$A$4:$G$8,2,FALSE)</f>
        <v>3893.6286146503858</v>
      </c>
      <c r="T82" s="75">
        <f t="shared" si="25"/>
        <v>6489.3810244173092</v>
      </c>
      <c r="U82" s="11">
        <f>U81*(1+VLOOKUP(U$6,Data!$A$3:$G$8,6,0))^(1/12)</f>
        <v>11981.847216210872</v>
      </c>
      <c r="V82" s="59">
        <f>U82*VLOOKUP(U$6,Data!$A$4:$G$8,3,FALSE)</f>
        <v>29954.618040527181</v>
      </c>
      <c r="W82" s="37">
        <f>VLOOKUP(U$6,Data!$A$3:$G$8,5,FALSE)</f>
        <v>7.0000000000000007E-2</v>
      </c>
      <c r="X82" s="58">
        <f t="shared" si="26"/>
        <v>838.72930513476115</v>
      </c>
      <c r="Y82" s="75">
        <f>X82*VLOOKUP(U$6,Data!$A$4:$G$8,2,FALSE)</f>
        <v>7129.1990936454695</v>
      </c>
      <c r="Z82" s="82">
        <f t="shared" si="27"/>
        <v>22825.418946881713</v>
      </c>
      <c r="AA82" s="11">
        <f>AA81*(1+VLOOKUP(AA$6,Data!$A$3:$G$8,6,0))^(1/12)</f>
        <v>11934.591919441878</v>
      </c>
      <c r="AB82" s="59">
        <f>AA82*VLOOKUP(AA$6,Data!$A$4:$G$8,3,FALSE)</f>
        <v>32820.127778465168</v>
      </c>
      <c r="AC82" s="37">
        <f>VLOOKUP(AA$6,Data!$A$3:$G$8,5,FALSE)</f>
        <v>0.08</v>
      </c>
      <c r="AD82" s="58">
        <f t="shared" si="28"/>
        <v>954.76735355535027</v>
      </c>
      <c r="AE82" s="75">
        <f>AD82*VLOOKUP(AA$6,Data!$A$4:$G$8,2,FALSE)</f>
        <v>9547.673535553502</v>
      </c>
      <c r="AF82" s="82">
        <f t="shared" si="29"/>
        <v>23272.454242911666</v>
      </c>
      <c r="AG82" s="61">
        <f t="shared" si="30"/>
        <v>52780.479808078133</v>
      </c>
      <c r="AH82" s="60">
        <f t="shared" si="17"/>
        <v>35000</v>
      </c>
      <c r="AI82" s="60">
        <f t="shared" si="31"/>
        <v>17780.479808078133</v>
      </c>
      <c r="AJ82" s="62">
        <f t="shared" si="18"/>
        <v>821180.14756696892</v>
      </c>
    </row>
    <row r="83" spans="1:36" x14ac:dyDescent="0.25">
      <c r="A83" s="2">
        <v>76</v>
      </c>
      <c r="B83" s="36">
        <f t="shared" si="19"/>
        <v>7</v>
      </c>
      <c r="C83" s="11">
        <f>C82*(1+VLOOKUP(C$6,Data!$A$3:$G$8,6,0))^(1/12)</f>
        <v>5143.5583761581265</v>
      </c>
      <c r="D83" s="59">
        <f>C83*VLOOKUP(C$6,Data!$A$4:$G$8,3,FALSE)</f>
        <v>2571.7791880790633</v>
      </c>
      <c r="E83" s="37">
        <f>VLOOKUP(C$6,Data!$A$3:$G$8,5,FALSE)</f>
        <v>7.0000000000000007E-2</v>
      </c>
      <c r="F83" s="58">
        <f t="shared" si="20"/>
        <v>360.04908633106891</v>
      </c>
      <c r="G83" s="75">
        <f>F83*VLOOKUP(C$6,Data!$A$4:$G$8,2,FALSE)</f>
        <v>1800.2454316553444</v>
      </c>
      <c r="H83" s="75">
        <f t="shared" si="21"/>
        <v>771.53375642371884</v>
      </c>
      <c r="I83" s="11">
        <f>I82*(1+VLOOKUP(I$6,Data!$A$3:$G$8,6,0))^(1/12)</f>
        <v>9625.2447709168373</v>
      </c>
      <c r="J83" s="59">
        <f>I83*VLOOKUP(I$6,Data!$A$4:$G$8,3,FALSE)</f>
        <v>2887.573431275051</v>
      </c>
      <c r="K83" s="37">
        <f>VLOOKUP(I$6,Data!$A$3:$G$8,5,FALSE)</f>
        <v>0.06</v>
      </c>
      <c r="L83" s="58">
        <f t="shared" si="22"/>
        <v>577.51468625501025</v>
      </c>
      <c r="M83" s="75">
        <f>L83*VLOOKUP(I$6,Data!$A$4:$G$8,2,FALSE)</f>
        <v>3465.0881175300615</v>
      </c>
      <c r="N83" s="75">
        <f t="shared" si="23"/>
        <v>-577.51468625501047</v>
      </c>
      <c r="O83" s="11">
        <f>O82*(1+VLOOKUP(O$6,Data!$A$3:$G$8,6,0))^(1/12)</f>
        <v>10425.311305584071</v>
      </c>
      <c r="P83" s="59">
        <f>O83*VLOOKUP(O$6,Data!$A$4:$G$8,3,FALSE)</f>
        <v>10425.311305584071</v>
      </c>
      <c r="Q83" s="37">
        <f>VLOOKUP(O$6,Data!$A$3:$G$8,5,FALSE)</f>
        <v>0.05</v>
      </c>
      <c r="R83" s="58">
        <f t="shared" si="24"/>
        <v>521.26556527920354</v>
      </c>
      <c r="S83" s="75">
        <f>R83*VLOOKUP(O$6,Data!$A$4:$G$8,2,FALSE)</f>
        <v>3909.4917395940265</v>
      </c>
      <c r="T83" s="75">
        <f t="shared" si="25"/>
        <v>6515.8195659900448</v>
      </c>
      <c r="U83" s="11">
        <f>U82*(1+VLOOKUP(U$6,Data!$A$3:$G$8,6,0))^(1/12)</f>
        <v>12001.636211035631</v>
      </c>
      <c r="V83" s="59">
        <f>U83*VLOOKUP(U$6,Data!$A$4:$G$8,3,FALSE)</f>
        <v>30004.090527589076</v>
      </c>
      <c r="W83" s="37">
        <f>VLOOKUP(U$6,Data!$A$3:$G$8,5,FALSE)</f>
        <v>7.0000000000000007E-2</v>
      </c>
      <c r="X83" s="58">
        <f t="shared" si="26"/>
        <v>840.11453477249427</v>
      </c>
      <c r="Y83" s="75">
        <f>X83*VLOOKUP(U$6,Data!$A$4:$G$8,2,FALSE)</f>
        <v>7140.9735455662012</v>
      </c>
      <c r="Z83" s="82">
        <f t="shared" si="27"/>
        <v>22863.116982022875</v>
      </c>
      <c r="AA83" s="11">
        <f>AA82*(1+VLOOKUP(AA$6,Data!$A$3:$G$8,6,0))^(1/12)</f>
        <v>11964.025842737577</v>
      </c>
      <c r="AB83" s="59">
        <f>AA83*VLOOKUP(AA$6,Data!$A$4:$G$8,3,FALSE)</f>
        <v>32901.071067528341</v>
      </c>
      <c r="AC83" s="37">
        <f>VLOOKUP(AA$6,Data!$A$3:$G$8,5,FALSE)</f>
        <v>0.08</v>
      </c>
      <c r="AD83" s="58">
        <f t="shared" si="28"/>
        <v>957.12206741900627</v>
      </c>
      <c r="AE83" s="75">
        <f>AD83*VLOOKUP(AA$6,Data!$A$4:$G$8,2,FALSE)</f>
        <v>9571.2206741900627</v>
      </c>
      <c r="AF83" s="82">
        <f t="shared" si="29"/>
        <v>23329.850393338278</v>
      </c>
      <c r="AG83" s="61">
        <f t="shared" si="30"/>
        <v>52902.806011519904</v>
      </c>
      <c r="AH83" s="60">
        <f t="shared" si="17"/>
        <v>35000</v>
      </c>
      <c r="AI83" s="60">
        <f t="shared" si="31"/>
        <v>17902.806011519904</v>
      </c>
      <c r="AJ83" s="62">
        <f t="shared" si="18"/>
        <v>808363.63525528903</v>
      </c>
    </row>
    <row r="84" spans="1:36" x14ac:dyDescent="0.25">
      <c r="A84" s="2">
        <v>77</v>
      </c>
      <c r="B84" s="36">
        <f t="shared" si="19"/>
        <v>7</v>
      </c>
      <c r="C84" s="11">
        <f>C83*(1+VLOOKUP(C$6,Data!$A$3:$G$8,6,0))^(1/12)</f>
        <v>5152.0533809975241</v>
      </c>
      <c r="D84" s="59">
        <f>C84*VLOOKUP(C$6,Data!$A$4:$G$8,3,FALSE)</f>
        <v>2576.026690498762</v>
      </c>
      <c r="E84" s="37">
        <f>VLOOKUP(C$6,Data!$A$3:$G$8,5,FALSE)</f>
        <v>7.0000000000000007E-2</v>
      </c>
      <c r="F84" s="58">
        <f t="shared" si="20"/>
        <v>360.64373666982669</v>
      </c>
      <c r="G84" s="75">
        <f>F84*VLOOKUP(C$6,Data!$A$4:$G$8,2,FALSE)</f>
        <v>1803.2186833491335</v>
      </c>
      <c r="H84" s="75">
        <f t="shared" si="21"/>
        <v>772.80800714962857</v>
      </c>
      <c r="I84" s="11">
        <f>I83*(1+VLOOKUP(I$6,Data!$A$3:$G$8,6,0))^(1/12)</f>
        <v>9633.2292783142238</v>
      </c>
      <c r="J84" s="59">
        <f>I84*VLOOKUP(I$6,Data!$A$4:$G$8,3,FALSE)</f>
        <v>2889.968783494267</v>
      </c>
      <c r="K84" s="37">
        <f>VLOOKUP(I$6,Data!$A$3:$G$8,5,FALSE)</f>
        <v>0.06</v>
      </c>
      <c r="L84" s="58">
        <f t="shared" si="22"/>
        <v>577.99375669885342</v>
      </c>
      <c r="M84" s="75">
        <f>L84*VLOOKUP(I$6,Data!$A$4:$G$8,2,FALSE)</f>
        <v>3467.9625401931207</v>
      </c>
      <c r="N84" s="75">
        <f t="shared" si="23"/>
        <v>-577.99375669885376</v>
      </c>
      <c r="O84" s="11">
        <f>O83*(1+VLOOKUP(O$6,Data!$A$3:$G$8,6,0))^(1/12)</f>
        <v>10467.785314326089</v>
      </c>
      <c r="P84" s="59">
        <f>O84*VLOOKUP(O$6,Data!$A$4:$G$8,3,FALSE)</f>
        <v>10467.785314326089</v>
      </c>
      <c r="Q84" s="37">
        <f>VLOOKUP(O$6,Data!$A$3:$G$8,5,FALSE)</f>
        <v>0.05</v>
      </c>
      <c r="R84" s="58">
        <f t="shared" si="24"/>
        <v>523.38926571630452</v>
      </c>
      <c r="S84" s="75">
        <f>R84*VLOOKUP(O$6,Data!$A$4:$G$8,2,FALSE)</f>
        <v>3925.4194928722841</v>
      </c>
      <c r="T84" s="75">
        <f t="shared" si="25"/>
        <v>6542.3658214538045</v>
      </c>
      <c r="U84" s="11">
        <f>U83*(1+VLOOKUP(U$6,Data!$A$3:$G$8,6,0))^(1/12)</f>
        <v>12021.457888994226</v>
      </c>
      <c r="V84" s="59">
        <f>U84*VLOOKUP(U$6,Data!$A$4:$G$8,3,FALSE)</f>
        <v>30053.644722485566</v>
      </c>
      <c r="W84" s="37">
        <f>VLOOKUP(U$6,Data!$A$3:$G$8,5,FALSE)</f>
        <v>7.0000000000000007E-2</v>
      </c>
      <c r="X84" s="58">
        <f t="shared" si="26"/>
        <v>841.50205222959585</v>
      </c>
      <c r="Y84" s="75">
        <f>X84*VLOOKUP(U$6,Data!$A$4:$G$8,2,FALSE)</f>
        <v>7152.7674439515649</v>
      </c>
      <c r="Z84" s="82">
        <f t="shared" si="27"/>
        <v>22900.877278534001</v>
      </c>
      <c r="AA84" s="11">
        <f>AA83*(1+VLOOKUP(AA$6,Data!$A$3:$G$8,6,0))^(1/12)</f>
        <v>11993.532358028582</v>
      </c>
      <c r="AB84" s="59">
        <f>AA84*VLOOKUP(AA$6,Data!$A$4:$G$8,3,FALSE)</f>
        <v>32982.213984578601</v>
      </c>
      <c r="AC84" s="37">
        <f>VLOOKUP(AA$6,Data!$A$3:$G$8,5,FALSE)</f>
        <v>0.08</v>
      </c>
      <c r="AD84" s="58">
        <f t="shared" si="28"/>
        <v>959.4825886422866</v>
      </c>
      <c r="AE84" s="75">
        <f>AD84*VLOOKUP(AA$6,Data!$A$4:$G$8,2,FALSE)</f>
        <v>9594.8258864228665</v>
      </c>
      <c r="AF84" s="82">
        <f t="shared" si="29"/>
        <v>23387.388098155734</v>
      </c>
      <c r="AG84" s="61">
        <f t="shared" si="30"/>
        <v>53025.445448594313</v>
      </c>
      <c r="AH84" s="60">
        <f t="shared" si="17"/>
        <v>35000</v>
      </c>
      <c r="AI84" s="60">
        <f t="shared" si="31"/>
        <v>18025.445448594313</v>
      </c>
      <c r="AJ84" s="62">
        <f t="shared" si="18"/>
        <v>795347.32196106948</v>
      </c>
    </row>
    <row r="85" spans="1:36" x14ac:dyDescent="0.25">
      <c r="A85" s="2">
        <v>78</v>
      </c>
      <c r="B85" s="36">
        <f t="shared" si="19"/>
        <v>7</v>
      </c>
      <c r="C85" s="11">
        <f>C84*(1+VLOOKUP(C$6,Data!$A$3:$G$8,6,0))^(1/12)</f>
        <v>5160.562416028074</v>
      </c>
      <c r="D85" s="59">
        <f>C85*VLOOKUP(C$6,Data!$A$4:$G$8,3,FALSE)</f>
        <v>2580.281208014037</v>
      </c>
      <c r="E85" s="37">
        <f>VLOOKUP(C$6,Data!$A$3:$G$8,5,FALSE)</f>
        <v>7.0000000000000007E-2</v>
      </c>
      <c r="F85" s="58">
        <f t="shared" si="20"/>
        <v>361.23936912196524</v>
      </c>
      <c r="G85" s="75">
        <f>F85*VLOOKUP(C$6,Data!$A$4:$G$8,2,FALSE)</f>
        <v>1806.1968456098261</v>
      </c>
      <c r="H85" s="75">
        <f t="shared" si="21"/>
        <v>774.08436240421088</v>
      </c>
      <c r="I85" s="11">
        <f>I84*(1+VLOOKUP(I$6,Data!$A$3:$G$8,6,0))^(1/12)</f>
        <v>9641.22040916482</v>
      </c>
      <c r="J85" s="59">
        <f>I85*VLOOKUP(I$6,Data!$A$4:$G$8,3,FALSE)</f>
        <v>2892.3661227494458</v>
      </c>
      <c r="K85" s="37">
        <f>VLOOKUP(I$6,Data!$A$3:$G$8,5,FALSE)</f>
        <v>0.06</v>
      </c>
      <c r="L85" s="58">
        <f t="shared" si="22"/>
        <v>578.47322454988921</v>
      </c>
      <c r="M85" s="75">
        <f>L85*VLOOKUP(I$6,Data!$A$4:$G$8,2,FALSE)</f>
        <v>3470.8393472993353</v>
      </c>
      <c r="N85" s="75">
        <f t="shared" si="23"/>
        <v>-578.47322454988944</v>
      </c>
      <c r="O85" s="11">
        <f>O84*(1+VLOOKUP(O$6,Data!$A$3:$G$8,6,0))^(1/12)</f>
        <v>10510.43236743731</v>
      </c>
      <c r="P85" s="59">
        <f>O85*VLOOKUP(O$6,Data!$A$4:$G$8,3,FALSE)</f>
        <v>10510.43236743731</v>
      </c>
      <c r="Q85" s="37">
        <f>VLOOKUP(O$6,Data!$A$3:$G$8,5,FALSE)</f>
        <v>0.05</v>
      </c>
      <c r="R85" s="58">
        <f t="shared" si="24"/>
        <v>525.52161837186554</v>
      </c>
      <c r="S85" s="75">
        <f>R85*VLOOKUP(O$6,Data!$A$4:$G$8,2,FALSE)</f>
        <v>3941.4121377889915</v>
      </c>
      <c r="T85" s="75">
        <f t="shared" si="25"/>
        <v>6569.0202296483185</v>
      </c>
      <c r="U85" s="11">
        <f>U84*(1+VLOOKUP(U$6,Data!$A$3:$G$8,6,0))^(1/12)</f>
        <v>12041.31230406551</v>
      </c>
      <c r="V85" s="59">
        <f>U85*VLOOKUP(U$6,Data!$A$4:$G$8,3,FALSE)</f>
        <v>30103.280760163776</v>
      </c>
      <c r="W85" s="37">
        <f>VLOOKUP(U$6,Data!$A$3:$G$8,5,FALSE)</f>
        <v>7.0000000000000007E-2</v>
      </c>
      <c r="X85" s="58">
        <f t="shared" si="26"/>
        <v>842.89186128458573</v>
      </c>
      <c r="Y85" s="75">
        <f>X85*VLOOKUP(U$6,Data!$A$4:$G$8,2,FALSE)</f>
        <v>7164.580820918979</v>
      </c>
      <c r="Z85" s="82">
        <f t="shared" si="27"/>
        <v>22938.699939244798</v>
      </c>
      <c r="AA85" s="11">
        <f>AA84*(1+VLOOKUP(AA$6,Data!$A$3:$G$8,6,0))^(1/12)</f>
        <v>12023.111644346334</v>
      </c>
      <c r="AB85" s="59">
        <f>AA85*VLOOKUP(AA$6,Data!$A$4:$G$8,3,FALSE)</f>
        <v>33063.557021952416</v>
      </c>
      <c r="AC85" s="37">
        <f>VLOOKUP(AA$6,Data!$A$3:$G$8,5,FALSE)</f>
        <v>0.08</v>
      </c>
      <c r="AD85" s="58">
        <f t="shared" si="28"/>
        <v>961.8489315477068</v>
      </c>
      <c r="AE85" s="75">
        <f>AD85*VLOOKUP(AA$6,Data!$A$4:$G$8,2,FALSE)</f>
        <v>9618.4893154770689</v>
      </c>
      <c r="AF85" s="82">
        <f t="shared" si="29"/>
        <v>23445.067706475347</v>
      </c>
      <c r="AG85" s="61">
        <f t="shared" si="30"/>
        <v>53148.399013222785</v>
      </c>
      <c r="AH85" s="60">
        <f t="shared" si="17"/>
        <v>35000</v>
      </c>
      <c r="AI85" s="60">
        <f t="shared" si="31"/>
        <v>18148.399013222785</v>
      </c>
      <c r="AJ85" s="62">
        <f t="shared" si="18"/>
        <v>782129.68666991708</v>
      </c>
    </row>
    <row r="86" spans="1:36" x14ac:dyDescent="0.25">
      <c r="A86" s="2">
        <v>79</v>
      </c>
      <c r="B86" s="36">
        <f t="shared" si="19"/>
        <v>7</v>
      </c>
      <c r="C86" s="11">
        <f>C85*(1+VLOOKUP(C$6,Data!$A$3:$G$8,6,0))^(1/12)</f>
        <v>5169.0855044217778</v>
      </c>
      <c r="D86" s="59">
        <f>C86*VLOOKUP(C$6,Data!$A$4:$G$8,3,FALSE)</f>
        <v>2584.5427522108889</v>
      </c>
      <c r="E86" s="37">
        <f>VLOOKUP(C$6,Data!$A$3:$G$8,5,FALSE)</f>
        <v>7.0000000000000007E-2</v>
      </c>
      <c r="F86" s="58">
        <f t="shared" si="20"/>
        <v>361.83598530952446</v>
      </c>
      <c r="G86" s="75">
        <f>F86*VLOOKUP(C$6,Data!$A$4:$G$8,2,FALSE)</f>
        <v>1809.1799265476222</v>
      </c>
      <c r="H86" s="75">
        <f t="shared" si="21"/>
        <v>775.36282566326668</v>
      </c>
      <c r="I86" s="11">
        <f>I85*(1+VLOOKUP(I$6,Data!$A$3:$G$8,6,0))^(1/12)</f>
        <v>9649.2181689630343</v>
      </c>
      <c r="J86" s="59">
        <f>I86*VLOOKUP(I$6,Data!$A$4:$G$8,3,FALSE)</f>
        <v>2894.7654506889103</v>
      </c>
      <c r="K86" s="37">
        <f>VLOOKUP(I$6,Data!$A$3:$G$8,5,FALSE)</f>
        <v>0.06</v>
      </c>
      <c r="L86" s="58">
        <f t="shared" si="22"/>
        <v>578.95309013778206</v>
      </c>
      <c r="M86" s="75">
        <f>L86*VLOOKUP(I$6,Data!$A$4:$G$8,2,FALSE)</f>
        <v>3473.7185408266923</v>
      </c>
      <c r="N86" s="75">
        <f t="shared" si="23"/>
        <v>-578.95309013778206</v>
      </c>
      <c r="O86" s="11">
        <f>O85*(1+VLOOKUP(O$6,Data!$A$3:$G$8,6,0))^(1/12)</f>
        <v>10553.253169921914</v>
      </c>
      <c r="P86" s="59">
        <f>O86*VLOOKUP(O$6,Data!$A$4:$G$8,3,FALSE)</f>
        <v>10553.253169921914</v>
      </c>
      <c r="Q86" s="37">
        <f>VLOOKUP(O$6,Data!$A$3:$G$8,5,FALSE)</f>
        <v>0.05</v>
      </c>
      <c r="R86" s="58">
        <f t="shared" si="24"/>
        <v>527.66265849609579</v>
      </c>
      <c r="S86" s="75">
        <f>R86*VLOOKUP(O$6,Data!$A$4:$G$8,2,FALSE)</f>
        <v>3957.4699387207183</v>
      </c>
      <c r="T86" s="75">
        <f t="shared" si="25"/>
        <v>6595.783231201196</v>
      </c>
      <c r="U86" s="11">
        <f>U85*(1+VLOOKUP(U$6,Data!$A$3:$G$8,6,0))^(1/12)</f>
        <v>12061.199510317487</v>
      </c>
      <c r="V86" s="59">
        <f>U86*VLOOKUP(U$6,Data!$A$4:$G$8,3,FALSE)</f>
        <v>30152.998775793716</v>
      </c>
      <c r="W86" s="37">
        <f>VLOOKUP(U$6,Data!$A$3:$G$8,5,FALSE)</f>
        <v>7.0000000000000007E-2</v>
      </c>
      <c r="X86" s="58">
        <f t="shared" si="26"/>
        <v>844.28396572222414</v>
      </c>
      <c r="Y86" s="75">
        <f>X86*VLOOKUP(U$6,Data!$A$4:$G$8,2,FALSE)</f>
        <v>7176.4137086389055</v>
      </c>
      <c r="Z86" s="82">
        <f t="shared" si="27"/>
        <v>22976.585067154811</v>
      </c>
      <c r="AA86" s="11">
        <f>AA85*(1+VLOOKUP(AA$6,Data!$A$3:$G$8,6,0))^(1/12)</f>
        <v>12052.763881163819</v>
      </c>
      <c r="AB86" s="59">
        <f>AA86*VLOOKUP(AA$6,Data!$A$4:$G$8,3,FALSE)</f>
        <v>33145.100673200504</v>
      </c>
      <c r="AC86" s="37">
        <f>VLOOKUP(AA$6,Data!$A$3:$G$8,5,FALSE)</f>
        <v>0.08</v>
      </c>
      <c r="AD86" s="58">
        <f t="shared" si="28"/>
        <v>964.22111049310558</v>
      </c>
      <c r="AE86" s="75">
        <f>AD86*VLOOKUP(AA$6,Data!$A$4:$G$8,2,FALSE)</f>
        <v>9642.2111049310552</v>
      </c>
      <c r="AF86" s="82">
        <f t="shared" si="29"/>
        <v>23502.889568269449</v>
      </c>
      <c r="AG86" s="61">
        <f t="shared" si="30"/>
        <v>53271.667602150941</v>
      </c>
      <c r="AH86" s="60">
        <f t="shared" si="17"/>
        <v>35000</v>
      </c>
      <c r="AI86" s="60">
        <f t="shared" si="31"/>
        <v>18271.667602150941</v>
      </c>
      <c r="AJ86" s="62">
        <f t="shared" si="18"/>
        <v>768709.19827910862</v>
      </c>
    </row>
    <row r="87" spans="1:36" x14ac:dyDescent="0.25">
      <c r="A87" s="2">
        <v>80</v>
      </c>
      <c r="B87" s="36">
        <f t="shared" si="19"/>
        <v>7</v>
      </c>
      <c r="C87" s="11">
        <f>C86*(1+VLOOKUP(C$6,Data!$A$3:$G$8,6,0))^(1/12)</f>
        <v>5177.6226693889075</v>
      </c>
      <c r="D87" s="59">
        <f>C87*VLOOKUP(C$6,Data!$A$4:$G$8,3,FALSE)</f>
        <v>2588.8113346944538</v>
      </c>
      <c r="E87" s="37">
        <f>VLOOKUP(C$6,Data!$A$3:$G$8,5,FALSE)</f>
        <v>7.0000000000000007E-2</v>
      </c>
      <c r="F87" s="58">
        <f t="shared" si="20"/>
        <v>362.43358685722359</v>
      </c>
      <c r="G87" s="75">
        <f>F87*VLOOKUP(C$6,Data!$A$4:$G$8,2,FALSE)</f>
        <v>1812.167934286118</v>
      </c>
      <c r="H87" s="75">
        <f t="shared" si="21"/>
        <v>776.64340040833576</v>
      </c>
      <c r="I87" s="11">
        <f>I86*(1+VLOOKUP(I$6,Data!$A$3:$G$8,6,0))^(1/12)</f>
        <v>9657.2225632078298</v>
      </c>
      <c r="J87" s="59">
        <f>I87*VLOOKUP(I$6,Data!$A$4:$G$8,3,FALSE)</f>
        <v>2897.1667689623487</v>
      </c>
      <c r="K87" s="37">
        <f>VLOOKUP(I$6,Data!$A$3:$G$8,5,FALSE)</f>
        <v>0.06</v>
      </c>
      <c r="L87" s="58">
        <f t="shared" si="22"/>
        <v>579.4333537924698</v>
      </c>
      <c r="M87" s="75">
        <f>L87*VLOOKUP(I$6,Data!$A$4:$G$8,2,FALSE)</f>
        <v>3476.6001227548186</v>
      </c>
      <c r="N87" s="75">
        <f t="shared" si="23"/>
        <v>-579.43335379246992</v>
      </c>
      <c r="O87" s="11">
        <f>O86*(1+VLOOKUP(O$6,Data!$A$3:$G$8,6,0))^(1/12)</f>
        <v>10596.248429656356</v>
      </c>
      <c r="P87" s="59">
        <f>O87*VLOOKUP(O$6,Data!$A$4:$G$8,3,FALSE)</f>
        <v>10596.248429656356</v>
      </c>
      <c r="Q87" s="37">
        <f>VLOOKUP(O$6,Data!$A$3:$G$8,5,FALSE)</f>
        <v>0.05</v>
      </c>
      <c r="R87" s="58">
        <f t="shared" si="24"/>
        <v>529.81242148281785</v>
      </c>
      <c r="S87" s="75">
        <f>R87*VLOOKUP(O$6,Data!$A$4:$G$8,2,FALSE)</f>
        <v>3973.593161121134</v>
      </c>
      <c r="T87" s="75">
        <f t="shared" si="25"/>
        <v>6622.6552685352217</v>
      </c>
      <c r="U87" s="11">
        <f>U86*(1+VLOOKUP(U$6,Data!$A$3:$G$8,6,0))^(1/12)</f>
        <v>12081.119561907457</v>
      </c>
      <c r="V87" s="59">
        <f>U87*VLOOKUP(U$6,Data!$A$4:$G$8,3,FALSE)</f>
        <v>30202.798904768642</v>
      </c>
      <c r="W87" s="37">
        <f>VLOOKUP(U$6,Data!$A$3:$G$8,5,FALSE)</f>
        <v>7.0000000000000007E-2</v>
      </c>
      <c r="X87" s="58">
        <f t="shared" si="26"/>
        <v>845.67836933352203</v>
      </c>
      <c r="Y87" s="75">
        <f>X87*VLOOKUP(U$6,Data!$A$4:$G$8,2,FALSE)</f>
        <v>7188.2661393349372</v>
      </c>
      <c r="Z87" s="82">
        <f t="shared" si="27"/>
        <v>23014.532765433705</v>
      </c>
      <c r="AA87" s="11">
        <f>AA86*(1+VLOOKUP(AA$6,Data!$A$3:$G$8,6,0))^(1/12)</f>
        <v>12082.489248396647</v>
      </c>
      <c r="AB87" s="59">
        <f>AA87*VLOOKUP(AA$6,Data!$A$4:$G$8,3,FALSE)</f>
        <v>33226.845433090777</v>
      </c>
      <c r="AC87" s="37">
        <f>VLOOKUP(AA$6,Data!$A$3:$G$8,5,FALSE)</f>
        <v>0.08</v>
      </c>
      <c r="AD87" s="58">
        <f t="shared" si="28"/>
        <v>966.59913987173172</v>
      </c>
      <c r="AE87" s="75">
        <f>AD87*VLOOKUP(AA$6,Data!$A$4:$G$8,2,FALSE)</f>
        <v>9665.9913987173168</v>
      </c>
      <c r="AF87" s="82">
        <f t="shared" si="29"/>
        <v>23560.85403437346</v>
      </c>
      <c r="AG87" s="61">
        <f t="shared" si="30"/>
        <v>53395.252114958254</v>
      </c>
      <c r="AH87" s="60">
        <f t="shared" si="17"/>
        <v>35000</v>
      </c>
      <c r="AI87" s="60">
        <f t="shared" si="31"/>
        <v>18395.252114958254</v>
      </c>
      <c r="AJ87" s="62">
        <f t="shared" si="18"/>
        <v>755084.31553378305</v>
      </c>
    </row>
    <row r="88" spans="1:36" x14ac:dyDescent="0.25">
      <c r="A88" s="2">
        <v>81</v>
      </c>
      <c r="B88" s="36">
        <f t="shared" si="19"/>
        <v>7</v>
      </c>
      <c r="C88" s="11">
        <f>C87*(1+VLOOKUP(C$6,Data!$A$3:$G$8,6,0))^(1/12)</f>
        <v>5186.1739341780685</v>
      </c>
      <c r="D88" s="59">
        <f>C88*VLOOKUP(C$6,Data!$A$4:$G$8,3,FALSE)</f>
        <v>2593.0869670890343</v>
      </c>
      <c r="E88" s="37">
        <f>VLOOKUP(C$6,Data!$A$3:$G$8,5,FALSE)</f>
        <v>7.0000000000000007E-2</v>
      </c>
      <c r="F88" s="58">
        <f t="shared" si="20"/>
        <v>363.03217539246481</v>
      </c>
      <c r="G88" s="75">
        <f>F88*VLOOKUP(C$6,Data!$A$4:$G$8,2,FALSE)</f>
        <v>1815.160876962324</v>
      </c>
      <c r="H88" s="75">
        <f t="shared" si="21"/>
        <v>777.92609012671028</v>
      </c>
      <c r="I88" s="11">
        <f>I87*(1+VLOOKUP(I$6,Data!$A$3:$G$8,6,0))^(1/12)</f>
        <v>9665.2335974027337</v>
      </c>
      <c r="J88" s="59">
        <f>I88*VLOOKUP(I$6,Data!$A$4:$G$8,3,FALSE)</f>
        <v>2899.5700792208199</v>
      </c>
      <c r="K88" s="37">
        <f>VLOOKUP(I$6,Data!$A$3:$G$8,5,FALSE)</f>
        <v>0.06</v>
      </c>
      <c r="L88" s="58">
        <f t="shared" si="22"/>
        <v>579.91401584416406</v>
      </c>
      <c r="M88" s="75">
        <f>L88*VLOOKUP(I$6,Data!$A$4:$G$8,2,FALSE)</f>
        <v>3479.4840950649841</v>
      </c>
      <c r="N88" s="75">
        <f t="shared" si="23"/>
        <v>-579.91401584416417</v>
      </c>
      <c r="O88" s="11">
        <f>O87*(1+VLOOKUP(O$6,Data!$A$3:$G$8,6,0))^(1/12)</f>
        <v>10639.418857401066</v>
      </c>
      <c r="P88" s="59">
        <f>O88*VLOOKUP(O$6,Data!$A$4:$G$8,3,FALSE)</f>
        <v>10639.418857401066</v>
      </c>
      <c r="Q88" s="37">
        <f>VLOOKUP(O$6,Data!$A$3:$G$8,5,FALSE)</f>
        <v>0.05</v>
      </c>
      <c r="R88" s="58">
        <f t="shared" si="24"/>
        <v>531.97094287005336</v>
      </c>
      <c r="S88" s="75">
        <f>R88*VLOOKUP(O$6,Data!$A$4:$G$8,2,FALSE)</f>
        <v>3989.7820715254002</v>
      </c>
      <c r="T88" s="75">
        <f t="shared" si="25"/>
        <v>6649.6367858756657</v>
      </c>
      <c r="U88" s="11">
        <f>U87*(1+VLOOKUP(U$6,Data!$A$3:$G$8,6,0))^(1/12)</f>
        <v>12101.072513082167</v>
      </c>
      <c r="V88" s="59">
        <f>U88*VLOOKUP(U$6,Data!$A$4:$G$8,3,FALSE)</f>
        <v>30252.681282705416</v>
      </c>
      <c r="W88" s="37">
        <f>VLOOKUP(U$6,Data!$A$3:$G$8,5,FALSE)</f>
        <v>7.0000000000000007E-2</v>
      </c>
      <c r="X88" s="58">
        <f t="shared" si="26"/>
        <v>847.07507591575177</v>
      </c>
      <c r="Y88" s="75">
        <f>X88*VLOOKUP(U$6,Data!$A$4:$G$8,2,FALSE)</f>
        <v>7200.1381452838905</v>
      </c>
      <c r="Z88" s="82">
        <f t="shared" si="27"/>
        <v>23052.543137421526</v>
      </c>
      <c r="AA88" s="11">
        <f>AA87*(1+VLOOKUP(AA$6,Data!$A$3:$G$8,6,0))^(1/12)</f>
        <v>12112.287926404151</v>
      </c>
      <c r="AB88" s="59">
        <f>AA88*VLOOKUP(AA$6,Data!$A$4:$G$8,3,FALSE)</f>
        <v>33308.791797611419</v>
      </c>
      <c r="AC88" s="37">
        <f>VLOOKUP(AA$6,Data!$A$3:$G$8,5,FALSE)</f>
        <v>0.08</v>
      </c>
      <c r="AD88" s="58">
        <f t="shared" si="28"/>
        <v>968.98303411233212</v>
      </c>
      <c r="AE88" s="75">
        <f>AD88*VLOOKUP(AA$6,Data!$A$4:$G$8,2,FALSE)</f>
        <v>9689.830341123321</v>
      </c>
      <c r="AF88" s="82">
        <f t="shared" si="29"/>
        <v>23618.961456488098</v>
      </c>
      <c r="AG88" s="61">
        <f t="shared" si="30"/>
        <v>53519.153454067833</v>
      </c>
      <c r="AH88" s="60">
        <f t="shared" si="17"/>
        <v>35000</v>
      </c>
      <c r="AI88" s="60">
        <f t="shared" si="31"/>
        <v>18519.153454067833</v>
      </c>
      <c r="AJ88" s="62">
        <f t="shared" si="18"/>
        <v>741253.48696273926</v>
      </c>
    </row>
    <row r="89" spans="1:36" x14ac:dyDescent="0.25">
      <c r="A89" s="2">
        <v>82</v>
      </c>
      <c r="B89" s="36">
        <f t="shared" si="19"/>
        <v>7</v>
      </c>
      <c r="C89" s="11">
        <f>C88*(1+VLOOKUP(C$6,Data!$A$3:$G$8,6,0))^(1/12)</f>
        <v>5194.7393220762633</v>
      </c>
      <c r="D89" s="59">
        <f>C89*VLOOKUP(C$6,Data!$A$4:$G$8,3,FALSE)</f>
        <v>2597.3696610381317</v>
      </c>
      <c r="E89" s="37">
        <f>VLOOKUP(C$6,Data!$A$3:$G$8,5,FALSE)</f>
        <v>7.0000000000000007E-2</v>
      </c>
      <c r="F89" s="58">
        <f t="shared" si="20"/>
        <v>363.63175254533849</v>
      </c>
      <c r="G89" s="75">
        <f>F89*VLOOKUP(C$6,Data!$A$4:$G$8,2,FALSE)</f>
        <v>1818.1587627266924</v>
      </c>
      <c r="H89" s="75">
        <f t="shared" si="21"/>
        <v>779.21089831143922</v>
      </c>
      <c r="I89" s="11">
        <f>I88*(1+VLOOKUP(I$6,Data!$A$3:$G$8,6,0))^(1/12)</f>
        <v>9673.2512770558387</v>
      </c>
      <c r="J89" s="59">
        <f>I89*VLOOKUP(I$6,Data!$A$4:$G$8,3,FALSE)</f>
        <v>2901.9753831167513</v>
      </c>
      <c r="K89" s="37">
        <f>VLOOKUP(I$6,Data!$A$3:$G$8,5,FALSE)</f>
        <v>0.06</v>
      </c>
      <c r="L89" s="58">
        <f t="shared" si="22"/>
        <v>580.39507662335029</v>
      </c>
      <c r="M89" s="75">
        <f>L89*VLOOKUP(I$6,Data!$A$4:$G$8,2,FALSE)</f>
        <v>3482.370459740102</v>
      </c>
      <c r="N89" s="75">
        <f t="shared" si="23"/>
        <v>-580.39507662335063</v>
      </c>
      <c r="O89" s="11">
        <f>O88*(1+VLOOKUP(O$6,Data!$A$3:$G$8,6,0))^(1/12)</f>
        <v>10682.7651668122</v>
      </c>
      <c r="P89" s="59">
        <f>O89*VLOOKUP(O$6,Data!$A$4:$G$8,3,FALSE)</f>
        <v>10682.7651668122</v>
      </c>
      <c r="Q89" s="37">
        <f>VLOOKUP(O$6,Data!$A$3:$G$8,5,FALSE)</f>
        <v>0.05</v>
      </c>
      <c r="R89" s="58">
        <f t="shared" si="24"/>
        <v>534.13825834061004</v>
      </c>
      <c r="S89" s="75">
        <f>R89*VLOOKUP(O$6,Data!$A$4:$G$8,2,FALSE)</f>
        <v>4006.0369375545752</v>
      </c>
      <c r="T89" s="75">
        <f t="shared" si="25"/>
        <v>6676.7282292576247</v>
      </c>
      <c r="U89" s="11">
        <f>U88*(1+VLOOKUP(U$6,Data!$A$3:$G$8,6,0))^(1/12)</f>
        <v>12121.058418177954</v>
      </c>
      <c r="V89" s="59">
        <f>U89*VLOOKUP(U$6,Data!$A$4:$G$8,3,FALSE)</f>
        <v>30302.646045444886</v>
      </c>
      <c r="W89" s="37">
        <f>VLOOKUP(U$6,Data!$A$3:$G$8,5,FALSE)</f>
        <v>7.0000000000000007E-2</v>
      </c>
      <c r="X89" s="58">
        <f t="shared" si="26"/>
        <v>848.47408927245692</v>
      </c>
      <c r="Y89" s="75">
        <f>X89*VLOOKUP(U$6,Data!$A$4:$G$8,2,FALSE)</f>
        <v>7212.0297588158837</v>
      </c>
      <c r="Z89" s="82">
        <f t="shared" si="27"/>
        <v>23090.616286629003</v>
      </c>
      <c r="AA89" s="11">
        <f>AA88*(1+VLOOKUP(AA$6,Data!$A$3:$G$8,6,0))^(1/12)</f>
        <v>12142.160095990481</v>
      </c>
      <c r="AB89" s="59">
        <f>AA89*VLOOKUP(AA$6,Data!$A$4:$G$8,3,FALSE)</f>
        <v>33390.940263973825</v>
      </c>
      <c r="AC89" s="37">
        <f>VLOOKUP(AA$6,Data!$A$3:$G$8,5,FALSE)</f>
        <v>0.08</v>
      </c>
      <c r="AD89" s="58">
        <f t="shared" si="28"/>
        <v>971.37280767923846</v>
      </c>
      <c r="AE89" s="75">
        <f>AD89*VLOOKUP(AA$6,Data!$A$4:$G$8,2,FALSE)</f>
        <v>9713.7280767923839</v>
      </c>
      <c r="AF89" s="82">
        <f t="shared" si="29"/>
        <v>23677.212187181442</v>
      </c>
      <c r="AG89" s="61">
        <f t="shared" si="30"/>
        <v>53643.372524756152</v>
      </c>
      <c r="AH89" s="60">
        <f t="shared" si="17"/>
        <v>35000</v>
      </c>
      <c r="AI89" s="60">
        <f t="shared" si="31"/>
        <v>18643.372524756152</v>
      </c>
      <c r="AJ89" s="62">
        <f t="shared" si="18"/>
        <v>727215.15081383497</v>
      </c>
    </row>
    <row r="90" spans="1:36" x14ac:dyDescent="0.25">
      <c r="A90" s="2">
        <v>83</v>
      </c>
      <c r="B90" s="36">
        <f t="shared" si="19"/>
        <v>7</v>
      </c>
      <c r="C90" s="11">
        <f>C89*(1+VLOOKUP(C$6,Data!$A$3:$G$8,6,0))^(1/12)</f>
        <v>5203.3188564089542</v>
      </c>
      <c r="D90" s="59">
        <f>C90*VLOOKUP(C$6,Data!$A$4:$G$8,3,FALSE)</f>
        <v>2601.6594282044771</v>
      </c>
      <c r="E90" s="37">
        <f>VLOOKUP(C$6,Data!$A$3:$G$8,5,FALSE)</f>
        <v>7.0000000000000007E-2</v>
      </c>
      <c r="F90" s="58">
        <f t="shared" si="20"/>
        <v>364.23231994862681</v>
      </c>
      <c r="G90" s="75">
        <f>F90*VLOOKUP(C$6,Data!$A$4:$G$8,2,FALSE)</f>
        <v>1821.161599743134</v>
      </c>
      <c r="H90" s="75">
        <f t="shared" si="21"/>
        <v>780.49782846134303</v>
      </c>
      <c r="I90" s="11">
        <f>I89*(1+VLOOKUP(I$6,Data!$A$3:$G$8,6,0))^(1/12)</f>
        <v>9681.275607679805</v>
      </c>
      <c r="J90" s="59">
        <f>I90*VLOOKUP(I$6,Data!$A$4:$G$8,3,FALSE)</f>
        <v>2904.3826823039412</v>
      </c>
      <c r="K90" s="37">
        <f>VLOOKUP(I$6,Data!$A$3:$G$8,5,FALSE)</f>
        <v>0.06</v>
      </c>
      <c r="L90" s="58">
        <f t="shared" si="22"/>
        <v>580.87653646078832</v>
      </c>
      <c r="M90" s="75">
        <f>L90*VLOOKUP(I$6,Data!$A$4:$G$8,2,FALSE)</f>
        <v>3485.2592187647297</v>
      </c>
      <c r="N90" s="75">
        <f t="shared" si="23"/>
        <v>-580.87653646078843</v>
      </c>
      <c r="O90" s="11">
        <f>O89*(1+VLOOKUP(O$6,Data!$A$3:$G$8,6,0))^(1/12)</f>
        <v>10726.28807445344</v>
      </c>
      <c r="P90" s="59">
        <f>O90*VLOOKUP(O$6,Data!$A$4:$G$8,3,FALSE)</f>
        <v>10726.28807445344</v>
      </c>
      <c r="Q90" s="37">
        <f>VLOOKUP(O$6,Data!$A$3:$G$8,5,FALSE)</f>
        <v>0.05</v>
      </c>
      <c r="R90" s="58">
        <f t="shared" si="24"/>
        <v>536.31440372267195</v>
      </c>
      <c r="S90" s="75">
        <f>R90*VLOOKUP(O$6,Data!$A$4:$G$8,2,FALSE)</f>
        <v>4022.3580279200396</v>
      </c>
      <c r="T90" s="75">
        <f t="shared" si="25"/>
        <v>6703.9300465333999</v>
      </c>
      <c r="U90" s="11">
        <f>U89*(1+VLOOKUP(U$6,Data!$A$3:$G$8,6,0))^(1/12)</f>
        <v>12141.0773316209</v>
      </c>
      <c r="V90" s="59">
        <f>U90*VLOOKUP(U$6,Data!$A$4:$G$8,3,FALSE)</f>
        <v>30352.69332905225</v>
      </c>
      <c r="W90" s="37">
        <f>VLOOKUP(U$6,Data!$A$3:$G$8,5,FALSE)</f>
        <v>7.0000000000000007E-2</v>
      </c>
      <c r="X90" s="58">
        <f t="shared" si="26"/>
        <v>849.87541321346305</v>
      </c>
      <c r="Y90" s="75">
        <f>X90*VLOOKUP(U$6,Data!$A$4:$G$8,2,FALSE)</f>
        <v>7223.9410123144362</v>
      </c>
      <c r="Z90" s="82">
        <f t="shared" si="27"/>
        <v>23128.752316737813</v>
      </c>
      <c r="AA90" s="11">
        <f>AA89*(1+VLOOKUP(AA$6,Data!$A$3:$G$8,6,0))^(1/12)</f>
        <v>12172.105938405693</v>
      </c>
      <c r="AB90" s="59">
        <f>AA90*VLOOKUP(AA$6,Data!$A$4:$G$8,3,FALSE)</f>
        <v>33473.291330615655</v>
      </c>
      <c r="AC90" s="37">
        <f>VLOOKUP(AA$6,Data!$A$3:$G$8,5,FALSE)</f>
        <v>0.08</v>
      </c>
      <c r="AD90" s="58">
        <f t="shared" si="28"/>
        <v>973.76847507245554</v>
      </c>
      <c r="AE90" s="75">
        <f>AD90*VLOOKUP(AA$6,Data!$A$4:$G$8,2,FALSE)</f>
        <v>9737.6847507245548</v>
      </c>
      <c r="AF90" s="82">
        <f t="shared" si="29"/>
        <v>23735.6065798911</v>
      </c>
      <c r="AG90" s="61">
        <f t="shared" si="30"/>
        <v>53767.910235162868</v>
      </c>
      <c r="AH90" s="60">
        <f t="shared" si="17"/>
        <v>35000</v>
      </c>
      <c r="AI90" s="60">
        <f t="shared" si="31"/>
        <v>18767.910235162868</v>
      </c>
      <c r="AJ90" s="62">
        <f t="shared" si="18"/>
        <v>712967.73498898663</v>
      </c>
    </row>
    <row r="91" spans="1:36" x14ac:dyDescent="0.25">
      <c r="A91" s="2">
        <v>84</v>
      </c>
      <c r="B91" s="36">
        <f t="shared" si="19"/>
        <v>7</v>
      </c>
      <c r="C91" s="11">
        <f>C90*(1+VLOOKUP(C$6,Data!$A$3:$G$8,6,0))^(1/12)</f>
        <v>5211.9125605401277</v>
      </c>
      <c r="D91" s="59">
        <f>C91*VLOOKUP(C$6,Data!$A$4:$G$8,3,FALSE)</f>
        <v>2605.9562802700639</v>
      </c>
      <c r="E91" s="37">
        <f>VLOOKUP(C$6,Data!$A$3:$G$8,5,FALSE)</f>
        <v>7.0000000000000007E-2</v>
      </c>
      <c r="F91" s="58">
        <f t="shared" si="20"/>
        <v>364.83387923780896</v>
      </c>
      <c r="G91" s="75">
        <f>F91*VLOOKUP(C$6,Data!$A$4:$G$8,2,FALSE)</f>
        <v>1824.1693961890448</v>
      </c>
      <c r="H91" s="75">
        <f t="shared" si="21"/>
        <v>781.78688408101902</v>
      </c>
      <c r="I91" s="11">
        <f>I90*(1+VLOOKUP(I$6,Data!$A$3:$G$8,6,0))^(1/12)</f>
        <v>9689.3065947918658</v>
      </c>
      <c r="J91" s="59">
        <f>I91*VLOOKUP(I$6,Data!$A$4:$G$8,3,FALSE)</f>
        <v>2906.7919784375595</v>
      </c>
      <c r="K91" s="37">
        <f>VLOOKUP(I$6,Data!$A$3:$G$8,5,FALSE)</f>
        <v>0.06</v>
      </c>
      <c r="L91" s="58">
        <f t="shared" si="22"/>
        <v>581.35839568751192</v>
      </c>
      <c r="M91" s="75">
        <f>L91*VLOOKUP(I$6,Data!$A$4:$G$8,2,FALSE)</f>
        <v>3488.1503741250717</v>
      </c>
      <c r="N91" s="75">
        <f t="shared" si="23"/>
        <v>-581.35839568751226</v>
      </c>
      <c r="O91" s="11">
        <f>O90*(1+VLOOKUP(O$6,Data!$A$3:$G$8,6,0))^(1/12)</f>
        <v>10769.988299807834</v>
      </c>
      <c r="P91" s="59">
        <f>O91*VLOOKUP(O$6,Data!$A$4:$G$8,3,FALSE)</f>
        <v>10769.988299807834</v>
      </c>
      <c r="Q91" s="37">
        <f>VLOOKUP(O$6,Data!$A$3:$G$8,5,FALSE)</f>
        <v>0.05</v>
      </c>
      <c r="R91" s="58">
        <f t="shared" si="24"/>
        <v>538.49941499039176</v>
      </c>
      <c r="S91" s="75">
        <f>R91*VLOOKUP(O$6,Data!$A$4:$G$8,2,FALSE)</f>
        <v>4038.7456124279383</v>
      </c>
      <c r="T91" s="75">
        <f t="shared" si="25"/>
        <v>6731.2426873798959</v>
      </c>
      <c r="U91" s="11">
        <f>U90*(1+VLOOKUP(U$6,Data!$A$3:$G$8,6,0))^(1/12)</f>
        <v>12161.129307926973</v>
      </c>
      <c r="V91" s="59">
        <f>U91*VLOOKUP(U$6,Data!$A$4:$G$8,3,FALSE)</f>
        <v>30402.823269817432</v>
      </c>
      <c r="W91" s="37">
        <f>VLOOKUP(U$6,Data!$A$3:$G$8,5,FALSE)</f>
        <v>7.0000000000000007E-2</v>
      </c>
      <c r="X91" s="58">
        <f t="shared" si="26"/>
        <v>851.27905155488816</v>
      </c>
      <c r="Y91" s="75">
        <f>X91*VLOOKUP(U$6,Data!$A$4:$G$8,2,FALSE)</f>
        <v>7235.8719382165491</v>
      </c>
      <c r="Z91" s="82">
        <f t="shared" si="27"/>
        <v>23166.951331600882</v>
      </c>
      <c r="AA91" s="11">
        <f>AA90*(1+VLOOKUP(AA$6,Data!$A$3:$G$8,6,0))^(1/12)</f>
        <v>12202.125635346862</v>
      </c>
      <c r="AB91" s="59">
        <f>AA91*VLOOKUP(AA$6,Data!$A$4:$G$8,3,FALSE)</f>
        <v>33555.845497203867</v>
      </c>
      <c r="AC91" s="37">
        <f>VLOOKUP(AA$6,Data!$A$3:$G$8,5,FALSE)</f>
        <v>0.08</v>
      </c>
      <c r="AD91" s="58">
        <f t="shared" si="28"/>
        <v>976.17005082774892</v>
      </c>
      <c r="AE91" s="75">
        <f>AD91*VLOOKUP(AA$6,Data!$A$4:$G$8,2,FALSE)</f>
        <v>9761.7005082774886</v>
      </c>
      <c r="AF91" s="82">
        <f t="shared" si="29"/>
        <v>23794.144988926379</v>
      </c>
      <c r="AG91" s="61">
        <f t="shared" si="30"/>
        <v>53892.767496300658</v>
      </c>
      <c r="AH91" s="60">
        <f t="shared" si="17"/>
        <v>35000</v>
      </c>
      <c r="AI91" s="60">
        <f t="shared" si="31"/>
        <v>18892.767496300658</v>
      </c>
      <c r="AJ91" s="62">
        <f t="shared" si="18"/>
        <v>698509.65697876492</v>
      </c>
    </row>
    <row r="92" spans="1:36" x14ac:dyDescent="0.25">
      <c r="A92" s="2">
        <v>85</v>
      </c>
      <c r="B92" s="36">
        <f t="shared" si="19"/>
        <v>8</v>
      </c>
      <c r="C92" s="11">
        <f>C91*(1+VLOOKUP(C$6,Data!$A$3:$G$8,6,0))^(1/12)</f>
        <v>5220.5204578723587</v>
      </c>
      <c r="D92" s="59">
        <f>C92*VLOOKUP(C$6,Data!$A$4:$G$8,3,FALSE)</f>
        <v>2610.2602289361794</v>
      </c>
      <c r="E92" s="37">
        <f>VLOOKUP(C$6,Data!$A$3:$G$8,5,FALSE)</f>
        <v>7.0000000000000007E-2</v>
      </c>
      <c r="F92" s="58">
        <f t="shared" si="20"/>
        <v>365.43643205106514</v>
      </c>
      <c r="G92" s="75">
        <f>F92*VLOOKUP(C$6,Data!$A$4:$G$8,2,FALSE)</f>
        <v>1827.1821602553257</v>
      </c>
      <c r="H92" s="75">
        <f t="shared" si="21"/>
        <v>783.07806868085368</v>
      </c>
      <c r="I92" s="11">
        <f>I91*(1+VLOOKUP(I$6,Data!$A$3:$G$8,6,0))^(1/12)</f>
        <v>9697.3442439138307</v>
      </c>
      <c r="J92" s="59">
        <f>I92*VLOOKUP(I$6,Data!$A$4:$G$8,3,FALSE)</f>
        <v>2909.2032731741492</v>
      </c>
      <c r="K92" s="37">
        <f>VLOOKUP(I$6,Data!$A$3:$G$8,5,FALSE)</f>
        <v>0.06</v>
      </c>
      <c r="L92" s="58">
        <f t="shared" si="22"/>
        <v>581.84065463482978</v>
      </c>
      <c r="M92" s="75">
        <f>L92*VLOOKUP(I$6,Data!$A$4:$G$8,2,FALSE)</f>
        <v>3491.0439278089789</v>
      </c>
      <c r="N92" s="75">
        <f t="shared" si="23"/>
        <v>-581.84065463482966</v>
      </c>
      <c r="O92" s="11">
        <f>O91*(1+VLOOKUP(O$6,Data!$A$3:$G$8,6,0))^(1/12)</f>
        <v>10813.866565289696</v>
      </c>
      <c r="P92" s="59">
        <f>O92*VLOOKUP(O$6,Data!$A$4:$G$8,3,FALSE)</f>
        <v>10813.866565289696</v>
      </c>
      <c r="Q92" s="37">
        <f>VLOOKUP(O$6,Data!$A$3:$G$8,5,FALSE)</f>
        <v>0.05</v>
      </c>
      <c r="R92" s="58">
        <f t="shared" si="24"/>
        <v>540.69332826448488</v>
      </c>
      <c r="S92" s="75">
        <f>R92*VLOOKUP(O$6,Data!$A$4:$G$8,2,FALSE)</f>
        <v>4055.1999619836365</v>
      </c>
      <c r="T92" s="75">
        <f t="shared" si="25"/>
        <v>6758.6666033060592</v>
      </c>
      <c r="U92" s="11">
        <f>U91*(1+VLOOKUP(U$6,Data!$A$3:$G$8,6,0))^(1/12)</f>
        <v>12181.214401702178</v>
      </c>
      <c r="V92" s="59">
        <f>U92*VLOOKUP(U$6,Data!$A$4:$G$8,3,FALSE)</f>
        <v>30453.036004255446</v>
      </c>
      <c r="W92" s="37">
        <f>VLOOKUP(U$6,Data!$A$3:$G$8,5,FALSE)</f>
        <v>7.0000000000000007E-2</v>
      </c>
      <c r="X92" s="58">
        <f t="shared" si="26"/>
        <v>852.6850081191526</v>
      </c>
      <c r="Y92" s="75">
        <f>X92*VLOOKUP(U$6,Data!$A$4:$G$8,2,FALSE)</f>
        <v>7247.8225690127974</v>
      </c>
      <c r="Z92" s="82">
        <f t="shared" si="27"/>
        <v>23205.213435242647</v>
      </c>
      <c r="AA92" s="11">
        <f>AA91*(1+VLOOKUP(AA$6,Data!$A$3:$G$8,6,0))^(1/12)</f>
        <v>12232.21936895917</v>
      </c>
      <c r="AB92" s="59">
        <f>AA92*VLOOKUP(AA$6,Data!$A$4:$G$8,3,FALSE)</f>
        <v>33638.603264637713</v>
      </c>
      <c r="AC92" s="37">
        <f>VLOOKUP(AA$6,Data!$A$3:$G$8,5,FALSE)</f>
        <v>0.08</v>
      </c>
      <c r="AD92" s="58">
        <f t="shared" si="28"/>
        <v>978.5775495167336</v>
      </c>
      <c r="AE92" s="75">
        <f>AD92*VLOOKUP(AA$6,Data!$A$4:$G$8,2,FALSE)</f>
        <v>9785.775495167336</v>
      </c>
      <c r="AF92" s="82">
        <f t="shared" si="29"/>
        <v>23852.827769470379</v>
      </c>
      <c r="AG92" s="61">
        <f t="shared" si="30"/>
        <v>54017.945222065115</v>
      </c>
      <c r="AH92" s="60">
        <f t="shared" si="17"/>
        <v>35000</v>
      </c>
      <c r="AI92" s="60">
        <f t="shared" si="31"/>
        <v>19017.945222065115</v>
      </c>
      <c r="AJ92" s="62">
        <f t="shared" si="18"/>
        <v>683839.32379658672</v>
      </c>
    </row>
    <row r="93" spans="1:36" x14ac:dyDescent="0.25">
      <c r="A93" s="2">
        <v>86</v>
      </c>
      <c r="B93" s="36">
        <f t="shared" si="19"/>
        <v>8</v>
      </c>
      <c r="C93" s="11">
        <f>C92*(1+VLOOKUP(C$6,Data!$A$3:$G$8,6,0))^(1/12)</f>
        <v>5229.1425718468727</v>
      </c>
      <c r="D93" s="59">
        <f>C93*VLOOKUP(C$6,Data!$A$4:$G$8,3,FALSE)</f>
        <v>2614.5712859234363</v>
      </c>
      <c r="E93" s="37">
        <f>VLOOKUP(C$6,Data!$A$3:$G$8,5,FALSE)</f>
        <v>7.0000000000000007E-2</v>
      </c>
      <c r="F93" s="58">
        <f t="shared" si="20"/>
        <v>366.03998002928114</v>
      </c>
      <c r="G93" s="75">
        <f>F93*VLOOKUP(C$6,Data!$A$4:$G$8,2,FALSE)</f>
        <v>1830.1999001464058</v>
      </c>
      <c r="H93" s="75">
        <f t="shared" si="21"/>
        <v>784.37138577703058</v>
      </c>
      <c r="I93" s="11">
        <f>I92*(1+VLOOKUP(I$6,Data!$A$3:$G$8,6,0))^(1/12)</f>
        <v>9705.3885605720934</v>
      </c>
      <c r="J93" s="59">
        <f>I93*VLOOKUP(I$6,Data!$A$4:$G$8,3,FALSE)</f>
        <v>2911.6165681716279</v>
      </c>
      <c r="K93" s="37">
        <f>VLOOKUP(I$6,Data!$A$3:$G$8,5,FALSE)</f>
        <v>0.06</v>
      </c>
      <c r="L93" s="58">
        <f t="shared" si="22"/>
        <v>582.32331363432559</v>
      </c>
      <c r="M93" s="75">
        <f>L93*VLOOKUP(I$6,Data!$A$4:$G$8,2,FALSE)</f>
        <v>3493.9398818059535</v>
      </c>
      <c r="N93" s="75">
        <f t="shared" si="23"/>
        <v>-582.32331363432559</v>
      </c>
      <c r="O93" s="11">
        <f>O92*(1+VLOOKUP(O$6,Data!$A$3:$G$8,6,0))^(1/12)</f>
        <v>10857.923596256544</v>
      </c>
      <c r="P93" s="59">
        <f>O93*VLOOKUP(O$6,Data!$A$4:$G$8,3,FALSE)</f>
        <v>10857.923596256544</v>
      </c>
      <c r="Q93" s="37">
        <f>VLOOKUP(O$6,Data!$A$3:$G$8,5,FALSE)</f>
        <v>0.05</v>
      </c>
      <c r="R93" s="58">
        <f t="shared" si="24"/>
        <v>542.8961798128272</v>
      </c>
      <c r="S93" s="75">
        <f>R93*VLOOKUP(O$6,Data!$A$4:$G$8,2,FALSE)</f>
        <v>4071.7213485962038</v>
      </c>
      <c r="T93" s="75">
        <f t="shared" si="25"/>
        <v>6786.2022476603397</v>
      </c>
      <c r="U93" s="11">
        <f>U92*(1+VLOOKUP(U$6,Data!$A$3:$G$8,6,0))^(1/12)</f>
        <v>12201.332667642711</v>
      </c>
      <c r="V93" s="59">
        <f>U93*VLOOKUP(U$6,Data!$A$4:$G$8,3,FALSE)</f>
        <v>30503.331669106778</v>
      </c>
      <c r="W93" s="37">
        <f>VLOOKUP(U$6,Data!$A$3:$G$8,5,FALSE)</f>
        <v>7.0000000000000007E-2</v>
      </c>
      <c r="X93" s="58">
        <f t="shared" si="26"/>
        <v>854.09328673498987</v>
      </c>
      <c r="Y93" s="75">
        <f>X93*VLOOKUP(U$6,Data!$A$4:$G$8,2,FALSE)</f>
        <v>7259.7929372474136</v>
      </c>
      <c r="Z93" s="82">
        <f t="shared" si="27"/>
        <v>23243.538731859364</v>
      </c>
      <c r="AA93" s="11">
        <f>AA92*(1+VLOOKUP(AA$6,Data!$A$3:$G$8,6,0))^(1/12)</f>
        <v>12262.387321837021</v>
      </c>
      <c r="AB93" s="59">
        <f>AA93*VLOOKUP(AA$6,Data!$A$4:$G$8,3,FALSE)</f>
        <v>33721.565135051809</v>
      </c>
      <c r="AC93" s="37">
        <f>VLOOKUP(AA$6,Data!$A$3:$G$8,5,FALSE)</f>
        <v>0.08</v>
      </c>
      <c r="AD93" s="58">
        <f t="shared" si="28"/>
        <v>980.99098574696166</v>
      </c>
      <c r="AE93" s="75">
        <f>AD93*VLOOKUP(AA$6,Data!$A$4:$G$8,2,FALSE)</f>
        <v>9809.9098574696163</v>
      </c>
      <c r="AF93" s="82">
        <f t="shared" si="29"/>
        <v>23911.655277582191</v>
      </c>
      <c r="AG93" s="61">
        <f t="shared" si="30"/>
        <v>54143.444329244601</v>
      </c>
      <c r="AH93" s="60">
        <f t="shared" si="17"/>
        <v>35000</v>
      </c>
      <c r="AI93" s="60">
        <f t="shared" si="31"/>
        <v>19143.444329244601</v>
      </c>
      <c r="AJ93" s="62">
        <f t="shared" si="18"/>
        <v>668955.13191249839</v>
      </c>
    </row>
    <row r="94" spans="1:36" x14ac:dyDescent="0.25">
      <c r="A94" s="2">
        <v>87</v>
      </c>
      <c r="B94" s="36">
        <f t="shared" si="19"/>
        <v>8</v>
      </c>
      <c r="C94" s="11">
        <f>C93*(1+VLOOKUP(C$6,Data!$A$3:$G$8,6,0))^(1/12)</f>
        <v>5237.7789259436104</v>
      </c>
      <c r="D94" s="59">
        <f>C94*VLOOKUP(C$6,Data!$A$4:$G$8,3,FALSE)</f>
        <v>2618.8894629718052</v>
      </c>
      <c r="E94" s="37">
        <f>VLOOKUP(C$6,Data!$A$3:$G$8,5,FALSE)</f>
        <v>7.0000000000000007E-2</v>
      </c>
      <c r="F94" s="58">
        <f t="shared" si="20"/>
        <v>366.64452481605275</v>
      </c>
      <c r="G94" s="75">
        <f>F94*VLOOKUP(C$6,Data!$A$4:$G$8,2,FALSE)</f>
        <v>1833.2226240802638</v>
      </c>
      <c r="H94" s="75">
        <f t="shared" si="21"/>
        <v>785.66683889154137</v>
      </c>
      <c r="I94" s="11">
        <f>I93*(1+VLOOKUP(I$6,Data!$A$3:$G$8,6,0))^(1/12)</f>
        <v>9713.4395502976276</v>
      </c>
      <c r="J94" s="59">
        <f>I94*VLOOKUP(I$6,Data!$A$4:$G$8,3,FALSE)</f>
        <v>2914.0318650892882</v>
      </c>
      <c r="K94" s="37">
        <f>VLOOKUP(I$6,Data!$A$3:$G$8,5,FALSE)</f>
        <v>0.06</v>
      </c>
      <c r="L94" s="58">
        <f t="shared" si="22"/>
        <v>582.8063730178576</v>
      </c>
      <c r="M94" s="75">
        <f>L94*VLOOKUP(I$6,Data!$A$4:$G$8,2,FALSE)</f>
        <v>3496.8382381071456</v>
      </c>
      <c r="N94" s="75">
        <f t="shared" si="23"/>
        <v>-582.80637301785737</v>
      </c>
      <c r="O94" s="11">
        <f>O93*(1+VLOOKUP(O$6,Data!$A$3:$G$8,6,0))^(1/12)</f>
        <v>10902.160121021088</v>
      </c>
      <c r="P94" s="59">
        <f>O94*VLOOKUP(O$6,Data!$A$4:$G$8,3,FALSE)</f>
        <v>10902.160121021088</v>
      </c>
      <c r="Q94" s="37">
        <f>VLOOKUP(O$6,Data!$A$3:$G$8,5,FALSE)</f>
        <v>0.05</v>
      </c>
      <c r="R94" s="58">
        <f t="shared" si="24"/>
        <v>545.10800605105442</v>
      </c>
      <c r="S94" s="75">
        <f>R94*VLOOKUP(O$6,Data!$A$4:$G$8,2,FALSE)</f>
        <v>4088.3100453829084</v>
      </c>
      <c r="T94" s="75">
        <f t="shared" si="25"/>
        <v>6813.85007563818</v>
      </c>
      <c r="U94" s="11">
        <f>U93*(1+VLOOKUP(U$6,Data!$A$3:$G$8,6,0))^(1/12)</f>
        <v>12221.484160535099</v>
      </c>
      <c r="V94" s="59">
        <f>U94*VLOOKUP(U$6,Data!$A$4:$G$8,3,FALSE)</f>
        <v>30553.710401337747</v>
      </c>
      <c r="W94" s="37">
        <f>VLOOKUP(U$6,Data!$A$3:$G$8,5,FALSE)</f>
        <v>7.0000000000000007E-2</v>
      </c>
      <c r="X94" s="58">
        <f t="shared" si="26"/>
        <v>855.50389123745708</v>
      </c>
      <c r="Y94" s="75">
        <f>X94*VLOOKUP(U$6,Data!$A$4:$G$8,2,FALSE)</f>
        <v>7271.783075518385</v>
      </c>
      <c r="Z94" s="82">
        <f t="shared" si="27"/>
        <v>23281.927325819361</v>
      </c>
      <c r="AA94" s="11">
        <f>AA93*(1+VLOOKUP(AA$6,Data!$A$3:$G$8,6,0))^(1/12)</f>
        <v>12292.629677025148</v>
      </c>
      <c r="AB94" s="59">
        <f>AA94*VLOOKUP(AA$6,Data!$A$4:$G$8,3,FALSE)</f>
        <v>33804.731611819159</v>
      </c>
      <c r="AC94" s="37">
        <f>VLOOKUP(AA$6,Data!$A$3:$G$8,5,FALSE)</f>
        <v>0.08</v>
      </c>
      <c r="AD94" s="58">
        <f t="shared" si="28"/>
        <v>983.41037416201186</v>
      </c>
      <c r="AE94" s="75">
        <f>AD94*VLOOKUP(AA$6,Data!$A$4:$G$8,2,FALSE)</f>
        <v>9834.1037416201179</v>
      </c>
      <c r="AF94" s="82">
        <f t="shared" si="29"/>
        <v>23970.627870199041</v>
      </c>
      <c r="AG94" s="61">
        <f t="shared" si="30"/>
        <v>54269.265737530266</v>
      </c>
      <c r="AH94" s="60">
        <f t="shared" si="17"/>
        <v>35000</v>
      </c>
      <c r="AI94" s="60">
        <f t="shared" si="31"/>
        <v>19269.265737530266</v>
      </c>
      <c r="AJ94" s="62">
        <f t="shared" si="18"/>
        <v>653855.46718654933</v>
      </c>
    </row>
    <row r="95" spans="1:36" x14ac:dyDescent="0.25">
      <c r="A95" s="2">
        <v>88</v>
      </c>
      <c r="B95" s="36">
        <f t="shared" si="19"/>
        <v>8</v>
      </c>
      <c r="C95" s="11">
        <f>C94*(1+VLOOKUP(C$6,Data!$A$3:$G$8,6,0))^(1/12)</f>
        <v>5246.4295436812909</v>
      </c>
      <c r="D95" s="59">
        <f>C95*VLOOKUP(C$6,Data!$A$4:$G$8,3,FALSE)</f>
        <v>2623.2147718406454</v>
      </c>
      <c r="E95" s="37">
        <f>VLOOKUP(C$6,Data!$A$3:$G$8,5,FALSE)</f>
        <v>7.0000000000000007E-2</v>
      </c>
      <c r="F95" s="58">
        <f t="shared" si="20"/>
        <v>367.25006805769038</v>
      </c>
      <c r="G95" s="75">
        <f>F95*VLOOKUP(C$6,Data!$A$4:$G$8,2,FALSE)</f>
        <v>1836.250340288452</v>
      </c>
      <c r="H95" s="75">
        <f t="shared" si="21"/>
        <v>786.96443155219345</v>
      </c>
      <c r="I95" s="11">
        <f>I94*(1+VLOOKUP(I$6,Data!$A$3:$G$8,6,0))^(1/12)</f>
        <v>9721.4972186259965</v>
      </c>
      <c r="J95" s="59">
        <f>I95*VLOOKUP(I$6,Data!$A$4:$G$8,3,FALSE)</f>
        <v>2916.4491655877987</v>
      </c>
      <c r="K95" s="37">
        <f>VLOOKUP(I$6,Data!$A$3:$G$8,5,FALSE)</f>
        <v>0.06</v>
      </c>
      <c r="L95" s="58">
        <f t="shared" si="22"/>
        <v>583.28983311755974</v>
      </c>
      <c r="M95" s="75">
        <f>L95*VLOOKUP(I$6,Data!$A$4:$G$8,2,FALSE)</f>
        <v>3499.7389987053584</v>
      </c>
      <c r="N95" s="75">
        <f t="shared" si="23"/>
        <v>-583.28983311755974</v>
      </c>
      <c r="O95" s="11">
        <f>O94*(1+VLOOKUP(O$6,Data!$A$3:$G$8,6,0))^(1/12)</f>
        <v>10946.576870863282</v>
      </c>
      <c r="P95" s="59">
        <f>O95*VLOOKUP(O$6,Data!$A$4:$G$8,3,FALSE)</f>
        <v>10946.576870863282</v>
      </c>
      <c r="Q95" s="37">
        <f>VLOOKUP(O$6,Data!$A$3:$G$8,5,FALSE)</f>
        <v>0.05</v>
      </c>
      <c r="R95" s="58">
        <f t="shared" si="24"/>
        <v>547.32884354316411</v>
      </c>
      <c r="S95" s="75">
        <f>R95*VLOOKUP(O$6,Data!$A$4:$G$8,2,FALSE)</f>
        <v>4104.9663265737308</v>
      </c>
      <c r="T95" s="75">
        <f t="shared" si="25"/>
        <v>6841.6105442895514</v>
      </c>
      <c r="U95" s="11">
        <f>U94*(1+VLOOKUP(U$6,Data!$A$3:$G$8,6,0))^(1/12)</f>
        <v>12241.668935256354</v>
      </c>
      <c r="V95" s="59">
        <f>U95*VLOOKUP(U$6,Data!$A$4:$G$8,3,FALSE)</f>
        <v>30604.172338140885</v>
      </c>
      <c r="W95" s="37">
        <f>VLOOKUP(U$6,Data!$A$3:$G$8,5,FALSE)</f>
        <v>7.0000000000000007E-2</v>
      </c>
      <c r="X95" s="58">
        <f t="shared" si="26"/>
        <v>856.91682546794482</v>
      </c>
      <c r="Y95" s="75">
        <f>X95*VLOOKUP(U$6,Data!$A$4:$G$8,2,FALSE)</f>
        <v>7283.7930164775307</v>
      </c>
      <c r="Z95" s="82">
        <f t="shared" si="27"/>
        <v>23320.379321663353</v>
      </c>
      <c r="AA95" s="11">
        <f>AA94*(1+VLOOKUP(AA$6,Data!$A$3:$G$8,6,0))^(1/12)</f>
        <v>12322.946618019718</v>
      </c>
      <c r="AB95" s="59">
        <f>AA95*VLOOKUP(AA$6,Data!$A$4:$G$8,3,FALSE)</f>
        <v>33888.103199554222</v>
      </c>
      <c r="AC95" s="37">
        <f>VLOOKUP(AA$6,Data!$A$3:$G$8,5,FALSE)</f>
        <v>0.08</v>
      </c>
      <c r="AD95" s="58">
        <f t="shared" si="28"/>
        <v>985.83572944157743</v>
      </c>
      <c r="AE95" s="75">
        <f>AD95*VLOOKUP(AA$6,Data!$A$4:$G$8,2,FALSE)</f>
        <v>9858.357294415775</v>
      </c>
      <c r="AF95" s="82">
        <f t="shared" si="29"/>
        <v>24029.745905138447</v>
      </c>
      <c r="AG95" s="61">
        <f t="shared" si="30"/>
        <v>54395.410369525984</v>
      </c>
      <c r="AH95" s="60">
        <f t="shared" si="17"/>
        <v>35000</v>
      </c>
      <c r="AI95" s="60">
        <f t="shared" si="31"/>
        <v>19395.410369525984</v>
      </c>
      <c r="AJ95" s="62">
        <f t="shared" si="18"/>
        <v>638538.70480175212</v>
      </c>
    </row>
    <row r="96" spans="1:36" x14ac:dyDescent="0.25">
      <c r="A96" s="2">
        <v>89</v>
      </c>
      <c r="B96" s="36">
        <f t="shared" si="19"/>
        <v>8</v>
      </c>
      <c r="C96" s="11">
        <f>C95*(1+VLOOKUP(C$6,Data!$A$3:$G$8,6,0))^(1/12)</f>
        <v>5255.0944486174767</v>
      </c>
      <c r="D96" s="59">
        <f>C96*VLOOKUP(C$6,Data!$A$4:$G$8,3,FALSE)</f>
        <v>2627.5472243087384</v>
      </c>
      <c r="E96" s="37">
        <f>VLOOKUP(C$6,Data!$A$3:$G$8,5,FALSE)</f>
        <v>7.0000000000000007E-2</v>
      </c>
      <c r="F96" s="58">
        <f t="shared" si="20"/>
        <v>367.85661140322338</v>
      </c>
      <c r="G96" s="75">
        <f>F96*VLOOKUP(C$6,Data!$A$4:$G$8,2,FALSE)</f>
        <v>1839.2830570161168</v>
      </c>
      <c r="H96" s="75">
        <f t="shared" si="21"/>
        <v>788.26416729262155</v>
      </c>
      <c r="I96" s="11">
        <f>I95*(1+VLOOKUP(I$6,Data!$A$3:$G$8,6,0))^(1/12)</f>
        <v>9729.5615710973561</v>
      </c>
      <c r="J96" s="59">
        <f>I96*VLOOKUP(I$6,Data!$A$4:$G$8,3,FALSE)</f>
        <v>2918.8684713292068</v>
      </c>
      <c r="K96" s="37">
        <f>VLOOKUP(I$6,Data!$A$3:$G$8,5,FALSE)</f>
        <v>0.06</v>
      </c>
      <c r="L96" s="58">
        <f t="shared" si="22"/>
        <v>583.7736942658413</v>
      </c>
      <c r="M96" s="75">
        <f>L96*VLOOKUP(I$6,Data!$A$4:$G$8,2,FALSE)</f>
        <v>3502.642165595048</v>
      </c>
      <c r="N96" s="75">
        <f t="shared" si="23"/>
        <v>-583.77369426584119</v>
      </c>
      <c r="O96" s="11">
        <f>O95*(1+VLOOKUP(O$6,Data!$A$3:$G$8,6,0))^(1/12)</f>
        <v>10991.174580042401</v>
      </c>
      <c r="P96" s="59">
        <f>O96*VLOOKUP(O$6,Data!$A$4:$G$8,3,FALSE)</f>
        <v>10991.174580042401</v>
      </c>
      <c r="Q96" s="37">
        <f>VLOOKUP(O$6,Data!$A$3:$G$8,5,FALSE)</f>
        <v>0.05</v>
      </c>
      <c r="R96" s="58">
        <f t="shared" si="24"/>
        <v>549.55872900212012</v>
      </c>
      <c r="S96" s="75">
        <f>R96*VLOOKUP(O$6,Data!$A$4:$G$8,2,FALSE)</f>
        <v>4121.6904675159012</v>
      </c>
      <c r="T96" s="75">
        <f t="shared" si="25"/>
        <v>6869.4841125265002</v>
      </c>
      <c r="U96" s="11">
        <f>U95*(1+VLOOKUP(U$6,Data!$A$3:$G$8,6,0))^(1/12)</f>
        <v>12261.88704677412</v>
      </c>
      <c r="V96" s="59">
        <f>U96*VLOOKUP(U$6,Data!$A$4:$G$8,3,FALSE)</f>
        <v>30654.717616935301</v>
      </c>
      <c r="W96" s="37">
        <f>VLOOKUP(U$6,Data!$A$3:$G$8,5,FALSE)</f>
        <v>7.0000000000000007E-2</v>
      </c>
      <c r="X96" s="58">
        <f t="shared" si="26"/>
        <v>858.33209327418842</v>
      </c>
      <c r="Y96" s="75">
        <f>X96*VLOOKUP(U$6,Data!$A$4:$G$8,2,FALSE)</f>
        <v>7295.8227928306014</v>
      </c>
      <c r="Z96" s="82">
        <f t="shared" si="27"/>
        <v>23358.8948241047</v>
      </c>
      <c r="AA96" s="11">
        <f>AA95*(1+VLOOKUP(AA$6,Data!$A$3:$G$8,6,0))^(1/12)</f>
        <v>12353.338328769452</v>
      </c>
      <c r="AB96" s="59">
        <f>AA96*VLOOKUP(AA$6,Data!$A$4:$G$8,3,FALSE)</f>
        <v>33971.680404115992</v>
      </c>
      <c r="AC96" s="37">
        <f>VLOOKUP(AA$6,Data!$A$3:$G$8,5,FALSE)</f>
        <v>0.08</v>
      </c>
      <c r="AD96" s="58">
        <f t="shared" si="28"/>
        <v>988.26706630155616</v>
      </c>
      <c r="AE96" s="75">
        <f>AD96*VLOOKUP(AA$6,Data!$A$4:$G$8,2,FALSE)</f>
        <v>9882.6706630155622</v>
      </c>
      <c r="AF96" s="82">
        <f t="shared" si="29"/>
        <v>24089.009741100432</v>
      </c>
      <c r="AG96" s="61">
        <f t="shared" si="30"/>
        <v>54521.87915075841</v>
      </c>
      <c r="AH96" s="60">
        <f t="shared" si="17"/>
        <v>35000</v>
      </c>
      <c r="AI96" s="60">
        <f t="shared" si="31"/>
        <v>19521.87915075841</v>
      </c>
      <c r="AJ96" s="62">
        <f t="shared" si="18"/>
        <v>623003.20919662877</v>
      </c>
    </row>
    <row r="97" spans="1:36" x14ac:dyDescent="0.25">
      <c r="A97" s="2">
        <v>90</v>
      </c>
      <c r="B97" s="36">
        <f t="shared" si="19"/>
        <v>8</v>
      </c>
      <c r="C97" s="11">
        <f>C96*(1+VLOOKUP(C$6,Data!$A$3:$G$8,6,0))^(1/12)</f>
        <v>5263.7736643486378</v>
      </c>
      <c r="D97" s="59">
        <f>C97*VLOOKUP(C$6,Data!$A$4:$G$8,3,FALSE)</f>
        <v>2631.8868321743189</v>
      </c>
      <c r="E97" s="37">
        <f>VLOOKUP(C$6,Data!$A$3:$G$8,5,FALSE)</f>
        <v>7.0000000000000007E-2</v>
      </c>
      <c r="F97" s="58">
        <f t="shared" si="20"/>
        <v>368.46415650440468</v>
      </c>
      <c r="G97" s="75">
        <f>F97*VLOOKUP(C$6,Data!$A$4:$G$8,2,FALSE)</f>
        <v>1842.3207825220234</v>
      </c>
      <c r="H97" s="75">
        <f t="shared" si="21"/>
        <v>789.56604965229553</v>
      </c>
      <c r="I97" s="11">
        <f>I96*(1+VLOOKUP(I$6,Data!$A$3:$G$8,6,0))^(1/12)</f>
        <v>9737.6326132564591</v>
      </c>
      <c r="J97" s="59">
        <f>I97*VLOOKUP(I$6,Data!$A$4:$G$8,3,FALSE)</f>
        <v>2921.2897839769375</v>
      </c>
      <c r="K97" s="37">
        <f>VLOOKUP(I$6,Data!$A$3:$G$8,5,FALSE)</f>
        <v>0.06</v>
      </c>
      <c r="L97" s="58">
        <f t="shared" si="22"/>
        <v>584.25795679538749</v>
      </c>
      <c r="M97" s="75">
        <f>L97*VLOOKUP(I$6,Data!$A$4:$G$8,2,FALSE)</f>
        <v>3505.5477407723247</v>
      </c>
      <c r="N97" s="75">
        <f t="shared" si="23"/>
        <v>-584.25795679538714</v>
      </c>
      <c r="O97" s="11">
        <f>O96*(1+VLOOKUP(O$6,Data!$A$3:$G$8,6,0))^(1/12)</f>
        <v>11035.953985809183</v>
      </c>
      <c r="P97" s="59">
        <f>O97*VLOOKUP(O$6,Data!$A$4:$G$8,3,FALSE)</f>
        <v>11035.953985809183</v>
      </c>
      <c r="Q97" s="37">
        <f>VLOOKUP(O$6,Data!$A$3:$G$8,5,FALSE)</f>
        <v>0.05</v>
      </c>
      <c r="R97" s="58">
        <f t="shared" si="24"/>
        <v>551.79769929045915</v>
      </c>
      <c r="S97" s="75">
        <f>R97*VLOOKUP(O$6,Data!$A$4:$G$8,2,FALSE)</f>
        <v>4138.4827446784439</v>
      </c>
      <c r="T97" s="75">
        <f t="shared" si="25"/>
        <v>6897.4712411307391</v>
      </c>
      <c r="U97" s="11">
        <f>U96*(1+VLOOKUP(U$6,Data!$A$3:$G$8,6,0))^(1/12)</f>
        <v>12282.13855014683</v>
      </c>
      <c r="V97" s="59">
        <f>U97*VLOOKUP(U$6,Data!$A$4:$G$8,3,FALSE)</f>
        <v>30705.346375367077</v>
      </c>
      <c r="W97" s="37">
        <f>VLOOKUP(U$6,Data!$A$3:$G$8,5,FALSE)</f>
        <v>7.0000000000000007E-2</v>
      </c>
      <c r="X97" s="58">
        <f t="shared" si="26"/>
        <v>859.74969851027822</v>
      </c>
      <c r="Y97" s="75">
        <f>X97*VLOOKUP(U$6,Data!$A$4:$G$8,2,FALSE)</f>
        <v>7307.8724373373652</v>
      </c>
      <c r="Z97" s="82">
        <f t="shared" si="27"/>
        <v>23397.473938029711</v>
      </c>
      <c r="AA97" s="11">
        <f>AA96*(1+VLOOKUP(AA$6,Data!$A$3:$G$8,6,0))^(1/12)</f>
        <v>12383.804993676737</v>
      </c>
      <c r="AB97" s="59">
        <f>AA97*VLOOKUP(AA$6,Data!$A$4:$G$8,3,FALSE)</f>
        <v>34055.463732611024</v>
      </c>
      <c r="AC97" s="37">
        <f>VLOOKUP(AA$6,Data!$A$3:$G$8,5,FALSE)</f>
        <v>0.08</v>
      </c>
      <c r="AD97" s="58">
        <f t="shared" si="28"/>
        <v>990.7043994941389</v>
      </c>
      <c r="AE97" s="75">
        <f>AD97*VLOOKUP(AA$6,Data!$A$4:$G$8,2,FALSE)</f>
        <v>9907.0439949413885</v>
      </c>
      <c r="AF97" s="82">
        <f t="shared" si="29"/>
        <v>24148.419737669636</v>
      </c>
      <c r="AG97" s="61">
        <f t="shared" si="30"/>
        <v>54648.673009686994</v>
      </c>
      <c r="AH97" s="60">
        <f t="shared" si="17"/>
        <v>35000</v>
      </c>
      <c r="AI97" s="60">
        <f t="shared" si="31"/>
        <v>19648.673009686994</v>
      </c>
      <c r="AJ97" s="62">
        <f t="shared" si="18"/>
        <v>607247.33399733785</v>
      </c>
    </row>
    <row r="98" spans="1:36" x14ac:dyDescent="0.25">
      <c r="A98" s="2">
        <v>91</v>
      </c>
      <c r="B98" s="36">
        <f t="shared" si="19"/>
        <v>8</v>
      </c>
      <c r="C98" s="11">
        <f>C97*(1+VLOOKUP(C$6,Data!$A$3:$G$8,6,0))^(1/12)</f>
        <v>5272.4672145102159</v>
      </c>
      <c r="D98" s="59">
        <f>C98*VLOOKUP(C$6,Data!$A$4:$G$8,3,FALSE)</f>
        <v>2636.2336072551079</v>
      </c>
      <c r="E98" s="37">
        <f>VLOOKUP(C$6,Data!$A$3:$G$8,5,FALSE)</f>
        <v>7.0000000000000007E-2</v>
      </c>
      <c r="F98" s="58">
        <f t="shared" si="20"/>
        <v>369.07270501571514</v>
      </c>
      <c r="G98" s="75">
        <f>F98*VLOOKUP(C$6,Data!$A$4:$G$8,2,FALSE)</f>
        <v>1845.3635250785758</v>
      </c>
      <c r="H98" s="75">
        <f t="shared" si="21"/>
        <v>790.87008217653215</v>
      </c>
      <c r="I98" s="11">
        <f>I97*(1+VLOOKUP(I$6,Data!$A$3:$G$8,6,0))^(1/12)</f>
        <v>9745.7103506526564</v>
      </c>
      <c r="J98" s="59">
        <f>I98*VLOOKUP(I$6,Data!$A$4:$G$8,3,FALSE)</f>
        <v>2923.7131051957967</v>
      </c>
      <c r="K98" s="37">
        <f>VLOOKUP(I$6,Data!$A$3:$G$8,5,FALSE)</f>
        <v>0.06</v>
      </c>
      <c r="L98" s="58">
        <f t="shared" si="22"/>
        <v>584.74262103915942</v>
      </c>
      <c r="M98" s="75">
        <f>L98*VLOOKUP(I$6,Data!$A$4:$G$8,2,FALSE)</f>
        <v>3508.4557262349563</v>
      </c>
      <c r="N98" s="75">
        <f t="shared" si="23"/>
        <v>-584.74262103915953</v>
      </c>
      <c r="O98" s="11">
        <f>O97*(1+VLOOKUP(O$6,Data!$A$3:$G$8,6,0))^(1/12)</f>
        <v>11080.915828418018</v>
      </c>
      <c r="P98" s="59">
        <f>O98*VLOOKUP(O$6,Data!$A$4:$G$8,3,FALSE)</f>
        <v>11080.915828418018</v>
      </c>
      <c r="Q98" s="37">
        <f>VLOOKUP(O$6,Data!$A$3:$G$8,5,FALSE)</f>
        <v>0.05</v>
      </c>
      <c r="R98" s="58">
        <f t="shared" si="24"/>
        <v>554.04579142090085</v>
      </c>
      <c r="S98" s="75">
        <f>R98*VLOOKUP(O$6,Data!$A$4:$G$8,2,FALSE)</f>
        <v>4155.3434356567568</v>
      </c>
      <c r="T98" s="75">
        <f t="shared" si="25"/>
        <v>6925.5723927612607</v>
      </c>
      <c r="U98" s="11">
        <f>U97*(1+VLOOKUP(U$6,Data!$A$3:$G$8,6,0))^(1/12)</f>
        <v>12302.423500523846</v>
      </c>
      <c r="V98" s="59">
        <f>U98*VLOOKUP(U$6,Data!$A$4:$G$8,3,FALSE)</f>
        <v>30756.058751309614</v>
      </c>
      <c r="W98" s="37">
        <f>VLOOKUP(U$6,Data!$A$3:$G$8,5,FALSE)</f>
        <v>7.0000000000000007E-2</v>
      </c>
      <c r="X98" s="58">
        <f t="shared" si="26"/>
        <v>861.16964503666929</v>
      </c>
      <c r="Y98" s="75">
        <f>X98*VLOOKUP(U$6,Data!$A$4:$G$8,2,FALSE)</f>
        <v>7319.9419828116888</v>
      </c>
      <c r="Z98" s="82">
        <f t="shared" si="27"/>
        <v>23436.116768497926</v>
      </c>
      <c r="AA98" s="11">
        <f>AA97*(1+VLOOKUP(AA$6,Data!$A$3:$G$8,6,0))^(1/12)</f>
        <v>12414.346797598744</v>
      </c>
      <c r="AB98" s="59">
        <f>AA98*VLOOKUP(AA$6,Data!$A$4:$G$8,3,FALSE)</f>
        <v>34139.453693396543</v>
      </c>
      <c r="AC98" s="37">
        <f>VLOOKUP(AA$6,Data!$A$3:$G$8,5,FALSE)</f>
        <v>0.08</v>
      </c>
      <c r="AD98" s="58">
        <f t="shared" si="28"/>
        <v>993.14774380789959</v>
      </c>
      <c r="AE98" s="75">
        <f>AD98*VLOOKUP(AA$6,Data!$A$4:$G$8,2,FALSE)</f>
        <v>9931.4774380789968</v>
      </c>
      <c r="AF98" s="82">
        <f t="shared" si="29"/>
        <v>24207.976255317546</v>
      </c>
      <c r="AG98" s="61">
        <f t="shared" si="30"/>
        <v>54775.792877714106</v>
      </c>
      <c r="AH98" s="60">
        <f t="shared" si="17"/>
        <v>35000</v>
      </c>
      <c r="AI98" s="60">
        <f t="shared" si="31"/>
        <v>19775.792877714106</v>
      </c>
      <c r="AJ98" s="62">
        <f t="shared" si="18"/>
        <v>591269.42194938182</v>
      </c>
    </row>
    <row r="99" spans="1:36" x14ac:dyDescent="0.25">
      <c r="A99" s="2">
        <v>92</v>
      </c>
      <c r="B99" s="36">
        <f t="shared" si="19"/>
        <v>8</v>
      </c>
      <c r="C99" s="11">
        <f>C98*(1+VLOOKUP(C$6,Data!$A$3:$G$8,6,0))^(1/12)</f>
        <v>5281.1751227766881</v>
      </c>
      <c r="D99" s="59">
        <f>C99*VLOOKUP(C$6,Data!$A$4:$G$8,3,FALSE)</f>
        <v>2640.5875613883441</v>
      </c>
      <c r="E99" s="37">
        <f>VLOOKUP(C$6,Data!$A$3:$G$8,5,FALSE)</f>
        <v>7.0000000000000007E-2</v>
      </c>
      <c r="F99" s="58">
        <f t="shared" si="20"/>
        <v>369.68225859436819</v>
      </c>
      <c r="G99" s="75">
        <f>F99*VLOOKUP(C$6,Data!$A$4:$G$8,2,FALSE)</f>
        <v>1848.411292971841</v>
      </c>
      <c r="H99" s="75">
        <f t="shared" si="21"/>
        <v>792.17626841650304</v>
      </c>
      <c r="I99" s="11">
        <f>I98*(1+VLOOKUP(I$6,Data!$A$3:$G$8,6,0))^(1/12)</f>
        <v>9753.7947888399012</v>
      </c>
      <c r="J99" s="59">
        <f>I99*VLOOKUP(I$6,Data!$A$4:$G$8,3,FALSE)</f>
        <v>2926.1384366519701</v>
      </c>
      <c r="K99" s="37">
        <f>VLOOKUP(I$6,Data!$A$3:$G$8,5,FALSE)</f>
        <v>0.06</v>
      </c>
      <c r="L99" s="58">
        <f t="shared" si="22"/>
        <v>585.22768733039402</v>
      </c>
      <c r="M99" s="75">
        <f>L99*VLOOKUP(I$6,Data!$A$4:$G$8,2,FALSE)</f>
        <v>3511.3661239823641</v>
      </c>
      <c r="N99" s="75">
        <f t="shared" si="23"/>
        <v>-585.22768733039402</v>
      </c>
      <c r="O99" s="11">
        <f>O98*(1+VLOOKUP(O$6,Data!$A$3:$G$8,6,0))^(1/12)</f>
        <v>11126.06085113918</v>
      </c>
      <c r="P99" s="59">
        <f>O99*VLOOKUP(O$6,Data!$A$4:$G$8,3,FALSE)</f>
        <v>11126.06085113918</v>
      </c>
      <c r="Q99" s="37">
        <f>VLOOKUP(O$6,Data!$A$3:$G$8,5,FALSE)</f>
        <v>0.05</v>
      </c>
      <c r="R99" s="58">
        <f t="shared" si="24"/>
        <v>556.30304255695899</v>
      </c>
      <c r="S99" s="75">
        <f>R99*VLOOKUP(O$6,Data!$A$4:$G$8,2,FALSE)</f>
        <v>4172.2728191771921</v>
      </c>
      <c r="T99" s="75">
        <f t="shared" si="25"/>
        <v>6953.7880319619881</v>
      </c>
      <c r="U99" s="11">
        <f>U98*(1+VLOOKUP(U$6,Data!$A$3:$G$8,6,0))^(1/12)</f>
        <v>12322.741953145614</v>
      </c>
      <c r="V99" s="59">
        <f>U99*VLOOKUP(U$6,Data!$A$4:$G$8,3,FALSE)</f>
        <v>30806.854882864034</v>
      </c>
      <c r="W99" s="37">
        <f>VLOOKUP(U$6,Data!$A$3:$G$8,5,FALSE)</f>
        <v>7.0000000000000007E-2</v>
      </c>
      <c r="X99" s="58">
        <f t="shared" si="26"/>
        <v>862.59193672019308</v>
      </c>
      <c r="Y99" s="75">
        <f>X99*VLOOKUP(U$6,Data!$A$4:$G$8,2,FALSE)</f>
        <v>7332.0314621216412</v>
      </c>
      <c r="Z99" s="82">
        <f t="shared" si="27"/>
        <v>23474.823420742392</v>
      </c>
      <c r="AA99" s="11">
        <f>AA98*(1+VLOOKUP(AA$6,Data!$A$3:$G$8,6,0))^(1/12)</f>
        <v>12444.963925848557</v>
      </c>
      <c r="AB99" s="59">
        <f>AA99*VLOOKUP(AA$6,Data!$A$4:$G$8,3,FALSE)</f>
        <v>34223.65079608353</v>
      </c>
      <c r="AC99" s="37">
        <f>VLOOKUP(AA$6,Data!$A$3:$G$8,5,FALSE)</f>
        <v>0.08</v>
      </c>
      <c r="AD99" s="58">
        <f t="shared" si="28"/>
        <v>995.5971140678846</v>
      </c>
      <c r="AE99" s="75">
        <f>AD99*VLOOKUP(AA$6,Data!$A$4:$G$8,2,FALSE)</f>
        <v>9955.9711406788465</v>
      </c>
      <c r="AF99" s="82">
        <f t="shared" si="29"/>
        <v>24267.679655404681</v>
      </c>
      <c r="AG99" s="61">
        <f t="shared" si="30"/>
        <v>54903.239689195172</v>
      </c>
      <c r="AH99" s="60">
        <f t="shared" si="17"/>
        <v>35000</v>
      </c>
      <c r="AI99" s="60">
        <f t="shared" si="31"/>
        <v>19903.239689195172</v>
      </c>
      <c r="AJ99" s="62">
        <f t="shared" si="18"/>
        <v>575067.80484889145</v>
      </c>
    </row>
    <row r="100" spans="1:36" x14ac:dyDescent="0.25">
      <c r="A100" s="2">
        <v>93</v>
      </c>
      <c r="B100" s="36">
        <f t="shared" si="19"/>
        <v>8</v>
      </c>
      <c r="C100" s="11">
        <f>C99*(1+VLOOKUP(C$6,Data!$A$3:$G$8,6,0))^(1/12)</f>
        <v>5289.8974128616319</v>
      </c>
      <c r="D100" s="59">
        <f>C100*VLOOKUP(C$6,Data!$A$4:$G$8,3,FALSE)</f>
        <v>2644.9487064308159</v>
      </c>
      <c r="E100" s="37">
        <f>VLOOKUP(C$6,Data!$A$3:$G$8,5,FALSE)</f>
        <v>7.0000000000000007E-2</v>
      </c>
      <c r="F100" s="58">
        <f t="shared" si="20"/>
        <v>370.29281890031427</v>
      </c>
      <c r="G100" s="75">
        <f>F100*VLOOKUP(C$6,Data!$A$4:$G$8,2,FALSE)</f>
        <v>1851.4640945015713</v>
      </c>
      <c r="H100" s="75">
        <f t="shared" si="21"/>
        <v>793.48461192924469</v>
      </c>
      <c r="I100" s="11">
        <f>I99*(1+VLOOKUP(I$6,Data!$A$3:$G$8,6,0))^(1/12)</f>
        <v>9761.8859333767541</v>
      </c>
      <c r="J100" s="59">
        <f>I100*VLOOKUP(I$6,Data!$A$4:$G$8,3,FALSE)</f>
        <v>2928.5657800130261</v>
      </c>
      <c r="K100" s="37">
        <f>VLOOKUP(I$6,Data!$A$3:$G$8,5,FALSE)</f>
        <v>0.06</v>
      </c>
      <c r="L100" s="58">
        <f t="shared" si="22"/>
        <v>585.71315600260527</v>
      </c>
      <c r="M100" s="75">
        <f>L100*VLOOKUP(I$6,Data!$A$4:$G$8,2,FALSE)</f>
        <v>3514.2789360156316</v>
      </c>
      <c r="N100" s="75">
        <f t="shared" si="23"/>
        <v>-585.7131560026055</v>
      </c>
      <c r="O100" s="11">
        <f>O99*(1+VLOOKUP(O$6,Data!$A$3:$G$8,6,0))^(1/12)</f>
        <v>11171.389800271125</v>
      </c>
      <c r="P100" s="59">
        <f>O100*VLOOKUP(O$6,Data!$A$4:$G$8,3,FALSE)</f>
        <v>11171.389800271125</v>
      </c>
      <c r="Q100" s="37">
        <f>VLOOKUP(O$6,Data!$A$3:$G$8,5,FALSE)</f>
        <v>0.05</v>
      </c>
      <c r="R100" s="58">
        <f t="shared" si="24"/>
        <v>558.56949001355622</v>
      </c>
      <c r="S100" s="75">
        <f>R100*VLOOKUP(O$6,Data!$A$4:$G$8,2,FALSE)</f>
        <v>4189.2711751016714</v>
      </c>
      <c r="T100" s="75">
        <f t="shared" si="25"/>
        <v>6982.1186251694535</v>
      </c>
      <c r="U100" s="11">
        <f>U99*(1+VLOOKUP(U$6,Data!$A$3:$G$8,6,0))^(1/12)</f>
        <v>12343.093963343817</v>
      </c>
      <c r="V100" s="59">
        <f>U100*VLOOKUP(U$6,Data!$A$4:$G$8,3,FALSE)</f>
        <v>30857.734908359544</v>
      </c>
      <c r="W100" s="37">
        <f>VLOOKUP(U$6,Data!$A$3:$G$8,5,FALSE)</f>
        <v>7.0000000000000007E-2</v>
      </c>
      <c r="X100" s="58">
        <f t="shared" si="26"/>
        <v>864.01657743406736</v>
      </c>
      <c r="Y100" s="75">
        <f>X100*VLOOKUP(U$6,Data!$A$4:$G$8,2,FALSE)</f>
        <v>7344.1409081895727</v>
      </c>
      <c r="Z100" s="82">
        <f t="shared" si="27"/>
        <v>23513.594000169971</v>
      </c>
      <c r="AA100" s="11">
        <f>AA99*(1+VLOOKUP(AA$6,Data!$A$3:$G$8,6,0))^(1/12)</f>
        <v>12475.656564196286</v>
      </c>
      <c r="AB100" s="59">
        <f>AA100*VLOOKUP(AA$6,Data!$A$4:$G$8,3,FALSE)</f>
        <v>34308.055551539786</v>
      </c>
      <c r="AC100" s="37">
        <f>VLOOKUP(AA$6,Data!$A$3:$G$8,5,FALSE)</f>
        <v>0.08</v>
      </c>
      <c r="AD100" s="58">
        <f t="shared" si="28"/>
        <v>998.05252513570292</v>
      </c>
      <c r="AE100" s="75">
        <f>AD100*VLOOKUP(AA$6,Data!$A$4:$G$8,2,FALSE)</f>
        <v>9980.5252513570285</v>
      </c>
      <c r="AF100" s="82">
        <f t="shared" si="29"/>
        <v>24327.530300182756</v>
      </c>
      <c r="AG100" s="61">
        <f t="shared" si="30"/>
        <v>55031.014381448818</v>
      </c>
      <c r="AH100" s="60">
        <f t="shared" si="17"/>
        <v>35000</v>
      </c>
      <c r="AI100" s="60">
        <f t="shared" si="31"/>
        <v>20031.014381448818</v>
      </c>
      <c r="AJ100" s="62">
        <f t="shared" si="18"/>
        <v>558640.80347348505</v>
      </c>
    </row>
    <row r="101" spans="1:36" x14ac:dyDescent="0.25">
      <c r="A101" s="2">
        <v>94</v>
      </c>
      <c r="B101" s="36">
        <f t="shared" si="19"/>
        <v>8</v>
      </c>
      <c r="C101" s="11">
        <f>C100*(1+VLOOKUP(C$6,Data!$A$3:$G$8,6,0))^(1/12)</f>
        <v>5298.6341085177901</v>
      </c>
      <c r="D101" s="59">
        <f>C101*VLOOKUP(C$6,Data!$A$4:$G$8,3,FALSE)</f>
        <v>2649.317054258895</v>
      </c>
      <c r="E101" s="37">
        <f>VLOOKUP(C$6,Data!$A$3:$G$8,5,FALSE)</f>
        <v>7.0000000000000007E-2</v>
      </c>
      <c r="F101" s="58">
        <f t="shared" si="20"/>
        <v>370.90438759624533</v>
      </c>
      <c r="G101" s="75">
        <f>F101*VLOOKUP(C$6,Data!$A$4:$G$8,2,FALSE)</f>
        <v>1854.5219379812265</v>
      </c>
      <c r="H101" s="75">
        <f t="shared" si="21"/>
        <v>794.79511627766851</v>
      </c>
      <c r="I101" s="11">
        <f>I100*(1+VLOOKUP(I$6,Data!$A$3:$G$8,6,0))^(1/12)</f>
        <v>9769.9837898263904</v>
      </c>
      <c r="J101" s="59">
        <f>I101*VLOOKUP(I$6,Data!$A$4:$G$8,3,FALSE)</f>
        <v>2930.9951369479172</v>
      </c>
      <c r="K101" s="37">
        <f>VLOOKUP(I$6,Data!$A$3:$G$8,5,FALSE)</f>
        <v>0.06</v>
      </c>
      <c r="L101" s="58">
        <f t="shared" si="22"/>
        <v>586.19902738958342</v>
      </c>
      <c r="M101" s="75">
        <f>L101*VLOOKUP(I$6,Data!$A$4:$G$8,2,FALSE)</f>
        <v>3517.1941643375003</v>
      </c>
      <c r="N101" s="75">
        <f t="shared" si="23"/>
        <v>-586.19902738958308</v>
      </c>
      <c r="O101" s="11">
        <f>O100*(1+VLOOKUP(O$6,Data!$A$3:$G$8,6,0))^(1/12)</f>
        <v>11216.903425152816</v>
      </c>
      <c r="P101" s="59">
        <f>O101*VLOOKUP(O$6,Data!$A$4:$G$8,3,FALSE)</f>
        <v>11216.903425152816</v>
      </c>
      <c r="Q101" s="37">
        <f>VLOOKUP(O$6,Data!$A$3:$G$8,5,FALSE)</f>
        <v>0.05</v>
      </c>
      <c r="R101" s="58">
        <f t="shared" si="24"/>
        <v>560.8451712576408</v>
      </c>
      <c r="S101" s="75">
        <f>R101*VLOOKUP(O$6,Data!$A$4:$G$8,2,FALSE)</f>
        <v>4206.3387844323061</v>
      </c>
      <c r="T101" s="75">
        <f t="shared" si="25"/>
        <v>7010.5646407205095</v>
      </c>
      <c r="U101" s="11">
        <f>U100*(1+VLOOKUP(U$6,Data!$A$3:$G$8,6,0))^(1/12)</f>
        <v>12363.47958654152</v>
      </c>
      <c r="V101" s="59">
        <f>U101*VLOOKUP(U$6,Data!$A$4:$G$8,3,FALSE)</f>
        <v>30908.698966353801</v>
      </c>
      <c r="W101" s="37">
        <f>VLOOKUP(U$6,Data!$A$3:$G$8,5,FALSE)</f>
        <v>7.0000000000000007E-2</v>
      </c>
      <c r="X101" s="58">
        <f t="shared" si="26"/>
        <v>865.44357105790652</v>
      </c>
      <c r="Y101" s="75">
        <f>X101*VLOOKUP(U$6,Data!$A$4:$G$8,2,FALSE)</f>
        <v>7356.2703539922059</v>
      </c>
      <c r="Z101" s="82">
        <f t="shared" si="27"/>
        <v>23552.428612361597</v>
      </c>
      <c r="AA101" s="11">
        <f>AA100*(1+VLOOKUP(AA$6,Data!$A$3:$G$8,6,0))^(1/12)</f>
        <v>12506.424898870206</v>
      </c>
      <c r="AB101" s="59">
        <f>AA101*VLOOKUP(AA$6,Data!$A$4:$G$8,3,FALSE)</f>
        <v>34392.668471893063</v>
      </c>
      <c r="AC101" s="37">
        <f>VLOOKUP(AA$6,Data!$A$3:$G$8,5,FALSE)</f>
        <v>0.08</v>
      </c>
      <c r="AD101" s="58">
        <f t="shared" si="28"/>
        <v>1000.5139919096165</v>
      </c>
      <c r="AE101" s="75">
        <f>AD101*VLOOKUP(AA$6,Data!$A$4:$G$8,2,FALSE)</f>
        <v>10005.139919096166</v>
      </c>
      <c r="AF101" s="82">
        <f t="shared" si="29"/>
        <v>24387.528552796895</v>
      </c>
      <c r="AG101" s="61">
        <f t="shared" si="30"/>
        <v>55159.117894767085</v>
      </c>
      <c r="AH101" s="60">
        <f t="shared" si="17"/>
        <v>35000</v>
      </c>
      <c r="AI101" s="60">
        <f t="shared" si="31"/>
        <v>20159.117894767085</v>
      </c>
      <c r="AJ101" s="62">
        <f t="shared" si="18"/>
        <v>541986.72751269862</v>
      </c>
    </row>
    <row r="102" spans="1:36" x14ac:dyDescent="0.25">
      <c r="A102" s="2">
        <v>95</v>
      </c>
      <c r="B102" s="36">
        <f t="shared" si="19"/>
        <v>8</v>
      </c>
      <c r="C102" s="11">
        <f>C101*(1+VLOOKUP(C$6,Data!$A$3:$G$8,6,0))^(1/12)</f>
        <v>5307.3852335371348</v>
      </c>
      <c r="D102" s="59">
        <f>C102*VLOOKUP(C$6,Data!$A$4:$G$8,3,FALSE)</f>
        <v>2653.6926167685674</v>
      </c>
      <c r="E102" s="37">
        <f>VLOOKUP(C$6,Data!$A$3:$G$8,5,FALSE)</f>
        <v>7.0000000000000007E-2</v>
      </c>
      <c r="F102" s="58">
        <f t="shared" si="20"/>
        <v>371.51696634759946</v>
      </c>
      <c r="G102" s="75">
        <f>F102*VLOOKUP(C$6,Data!$A$4:$G$8,2,FALSE)</f>
        <v>1857.5848317379973</v>
      </c>
      <c r="H102" s="75">
        <f t="shared" si="21"/>
        <v>796.10778503057008</v>
      </c>
      <c r="I102" s="11">
        <f>I101*(1+VLOOKUP(I$6,Data!$A$3:$G$8,6,0))^(1/12)</f>
        <v>9778.0883637565948</v>
      </c>
      <c r="J102" s="59">
        <f>I102*VLOOKUP(I$6,Data!$A$4:$G$8,3,FALSE)</f>
        <v>2933.4265091269785</v>
      </c>
      <c r="K102" s="37">
        <f>VLOOKUP(I$6,Data!$A$3:$G$8,5,FALSE)</f>
        <v>0.06</v>
      </c>
      <c r="L102" s="58">
        <f t="shared" si="22"/>
        <v>586.68530182539564</v>
      </c>
      <c r="M102" s="75">
        <f>L102*VLOOKUP(I$6,Data!$A$4:$G$8,2,FALSE)</f>
        <v>3520.1118109523741</v>
      </c>
      <c r="N102" s="75">
        <f t="shared" si="23"/>
        <v>-586.68530182539553</v>
      </c>
      <c r="O102" s="11">
        <f>O101*(1+VLOOKUP(O$6,Data!$A$3:$G$8,6,0))^(1/12)</f>
        <v>11262.602478176117</v>
      </c>
      <c r="P102" s="59">
        <f>O102*VLOOKUP(O$6,Data!$A$4:$G$8,3,FALSE)</f>
        <v>11262.602478176117</v>
      </c>
      <c r="Q102" s="37">
        <f>VLOOKUP(O$6,Data!$A$3:$G$8,5,FALSE)</f>
        <v>0.05</v>
      </c>
      <c r="R102" s="58">
        <f t="shared" si="24"/>
        <v>563.1301239088059</v>
      </c>
      <c r="S102" s="75">
        <f>R102*VLOOKUP(O$6,Data!$A$4:$G$8,2,FALSE)</f>
        <v>4223.4759293160441</v>
      </c>
      <c r="T102" s="75">
        <f t="shared" si="25"/>
        <v>7039.1265488600729</v>
      </c>
      <c r="U102" s="11">
        <f>U101*(1+VLOOKUP(U$6,Data!$A$3:$G$8,6,0))^(1/12)</f>
        <v>12383.898878253323</v>
      </c>
      <c r="V102" s="59">
        <f>U102*VLOOKUP(U$6,Data!$A$4:$G$8,3,FALSE)</f>
        <v>30959.74719563331</v>
      </c>
      <c r="W102" s="37">
        <f>VLOOKUP(U$6,Data!$A$3:$G$8,5,FALSE)</f>
        <v>7.0000000000000007E-2</v>
      </c>
      <c r="X102" s="58">
        <f t="shared" si="26"/>
        <v>866.87292147773269</v>
      </c>
      <c r="Y102" s="75">
        <f>X102*VLOOKUP(U$6,Data!$A$4:$G$8,2,FALSE)</f>
        <v>7368.4198325607276</v>
      </c>
      <c r="Z102" s="82">
        <f t="shared" si="27"/>
        <v>23591.327363072582</v>
      </c>
      <c r="AA102" s="11">
        <f>AA101*(1+VLOOKUP(AA$6,Data!$A$3:$G$8,6,0))^(1/12)</f>
        <v>12537.269116557876</v>
      </c>
      <c r="AB102" s="59">
        <f>AA102*VLOOKUP(AA$6,Data!$A$4:$G$8,3,FALSE)</f>
        <v>34477.490070534157</v>
      </c>
      <c r="AC102" s="37">
        <f>VLOOKUP(AA$6,Data!$A$3:$G$8,5,FALSE)</f>
        <v>0.08</v>
      </c>
      <c r="AD102" s="58">
        <f t="shared" si="28"/>
        <v>1002.9815293246302</v>
      </c>
      <c r="AE102" s="75">
        <f>AD102*VLOOKUP(AA$6,Data!$A$4:$G$8,2,FALSE)</f>
        <v>10029.815293246302</v>
      </c>
      <c r="AF102" s="82">
        <f t="shared" si="29"/>
        <v>24447.674777287855</v>
      </c>
      <c r="AG102" s="61">
        <f t="shared" si="30"/>
        <v>55287.551172425679</v>
      </c>
      <c r="AH102" s="60">
        <f t="shared" si="17"/>
        <v>35000</v>
      </c>
      <c r="AI102" s="60">
        <f t="shared" si="31"/>
        <v>20287.551172425679</v>
      </c>
      <c r="AJ102" s="62">
        <f t="shared" si="18"/>
        <v>525103.87549798668</v>
      </c>
    </row>
    <row r="103" spans="1:36" x14ac:dyDescent="0.25">
      <c r="A103" s="2">
        <v>96</v>
      </c>
      <c r="B103" s="36">
        <f t="shared" si="19"/>
        <v>8</v>
      </c>
      <c r="C103" s="11">
        <f>C102*(1+VLOOKUP(C$6,Data!$A$3:$G$8,6,0))^(1/12)</f>
        <v>5316.150811750932</v>
      </c>
      <c r="D103" s="59">
        <f>C103*VLOOKUP(C$6,Data!$A$4:$G$8,3,FALSE)</f>
        <v>2658.075405875466</v>
      </c>
      <c r="E103" s="37">
        <f>VLOOKUP(C$6,Data!$A$3:$G$8,5,FALSE)</f>
        <v>7.0000000000000007E-2</v>
      </c>
      <c r="F103" s="58">
        <f t="shared" si="20"/>
        <v>372.13055682256527</v>
      </c>
      <c r="G103" s="75">
        <f>F103*VLOOKUP(C$6,Data!$A$4:$G$8,2,FALSE)</f>
        <v>1860.6527841128263</v>
      </c>
      <c r="H103" s="75">
        <f t="shared" si="21"/>
        <v>797.42262176263966</v>
      </c>
      <c r="I103" s="11">
        <f>I102*(1+VLOOKUP(I$6,Data!$A$3:$G$8,6,0))^(1/12)</f>
        <v>9786.1996607397759</v>
      </c>
      <c r="J103" s="59">
        <f>I103*VLOOKUP(I$6,Data!$A$4:$G$8,3,FALSE)</f>
        <v>2935.8598982219328</v>
      </c>
      <c r="K103" s="37">
        <f>VLOOKUP(I$6,Data!$A$3:$G$8,5,FALSE)</f>
        <v>0.06</v>
      </c>
      <c r="L103" s="58">
        <f t="shared" si="22"/>
        <v>587.17197964438651</v>
      </c>
      <c r="M103" s="75">
        <f>L103*VLOOKUP(I$6,Data!$A$4:$G$8,2,FALSE)</f>
        <v>3523.0318778663191</v>
      </c>
      <c r="N103" s="75">
        <f t="shared" si="23"/>
        <v>-587.17197964438628</v>
      </c>
      <c r="O103" s="11">
        <f>O102*(1+VLOOKUP(O$6,Data!$A$3:$G$8,6,0))^(1/12)</f>
        <v>11308.487714798232</v>
      </c>
      <c r="P103" s="59">
        <f>O103*VLOOKUP(O$6,Data!$A$4:$G$8,3,FALSE)</f>
        <v>11308.487714798232</v>
      </c>
      <c r="Q103" s="37">
        <f>VLOOKUP(O$6,Data!$A$3:$G$8,5,FALSE)</f>
        <v>0.05</v>
      </c>
      <c r="R103" s="58">
        <f t="shared" si="24"/>
        <v>565.4243857399116</v>
      </c>
      <c r="S103" s="75">
        <f>R103*VLOOKUP(O$6,Data!$A$4:$G$8,2,FALSE)</f>
        <v>4240.6828930493366</v>
      </c>
      <c r="T103" s="75">
        <f t="shared" si="25"/>
        <v>7067.8048217488949</v>
      </c>
      <c r="U103" s="11">
        <f>U102*(1+VLOOKUP(U$6,Data!$A$3:$G$8,6,0))^(1/12)</f>
        <v>12404.351894085517</v>
      </c>
      <c r="V103" s="59">
        <f>U103*VLOOKUP(U$6,Data!$A$4:$G$8,3,FALSE)</f>
        <v>31010.879735213792</v>
      </c>
      <c r="W103" s="37">
        <f>VLOOKUP(U$6,Data!$A$3:$G$8,5,FALSE)</f>
        <v>7.0000000000000007E-2</v>
      </c>
      <c r="X103" s="58">
        <f t="shared" si="26"/>
        <v>868.30463258598627</v>
      </c>
      <c r="Y103" s="75">
        <f>X103*VLOOKUP(U$6,Data!$A$4:$G$8,2,FALSE)</f>
        <v>7380.5893769808836</v>
      </c>
      <c r="Z103" s="82">
        <f t="shared" si="27"/>
        <v>23630.290358232909</v>
      </c>
      <c r="AA103" s="11">
        <f>AA102*(1+VLOOKUP(AA$6,Data!$A$3:$G$8,6,0))^(1/12)</f>
        <v>12568.18940440728</v>
      </c>
      <c r="AB103" s="59">
        <f>AA103*VLOOKUP(AA$6,Data!$A$4:$G$8,3,FALSE)</f>
        <v>34562.520862120022</v>
      </c>
      <c r="AC103" s="37">
        <f>VLOOKUP(AA$6,Data!$A$3:$G$8,5,FALSE)</f>
        <v>0.08</v>
      </c>
      <c r="AD103" s="58">
        <f t="shared" si="28"/>
        <v>1005.4551523525824</v>
      </c>
      <c r="AE103" s="75">
        <f>AD103*VLOOKUP(AA$6,Data!$A$4:$G$8,2,FALSE)</f>
        <v>10054.551523525824</v>
      </c>
      <c r="AF103" s="82">
        <f t="shared" si="29"/>
        <v>24507.969338594197</v>
      </c>
      <c r="AG103" s="61">
        <f t="shared" si="30"/>
        <v>55416.315160694256</v>
      </c>
      <c r="AH103" s="60">
        <f t="shared" si="17"/>
        <v>35000</v>
      </c>
      <c r="AI103" s="60">
        <f t="shared" si="31"/>
        <v>20416.315160694256</v>
      </c>
      <c r="AJ103" s="62">
        <f t="shared" si="18"/>
        <v>507990.5347322881</v>
      </c>
    </row>
    <row r="104" spans="1:36" x14ac:dyDescent="0.25">
      <c r="A104" s="2">
        <v>97</v>
      </c>
      <c r="B104" s="36">
        <f t="shared" si="19"/>
        <v>9</v>
      </c>
      <c r="C104" s="11">
        <f>C103*(1+VLOOKUP(C$6,Data!$A$3:$G$8,6,0))^(1/12)</f>
        <v>5324.9308670298078</v>
      </c>
      <c r="D104" s="59">
        <f>C104*VLOOKUP(C$6,Data!$A$4:$G$8,3,FALSE)</f>
        <v>2662.4654335149039</v>
      </c>
      <c r="E104" s="37">
        <f>VLOOKUP(C$6,Data!$A$3:$G$8,5,FALSE)</f>
        <v>7.0000000000000007E-2</v>
      </c>
      <c r="F104" s="58">
        <f t="shared" si="20"/>
        <v>372.74516069208659</v>
      </c>
      <c r="G104" s="75">
        <f>F104*VLOOKUP(C$6,Data!$A$4:$G$8,2,FALSE)</f>
        <v>1863.7258034604329</v>
      </c>
      <c r="H104" s="75">
        <f t="shared" si="21"/>
        <v>798.73963005447104</v>
      </c>
      <c r="I104" s="11">
        <f>I103*(1+VLOOKUP(I$6,Data!$A$3:$G$8,6,0))^(1/12)</f>
        <v>9794.3176863529607</v>
      </c>
      <c r="J104" s="59">
        <f>I104*VLOOKUP(I$6,Data!$A$4:$G$8,3,FALSE)</f>
        <v>2938.2953059058882</v>
      </c>
      <c r="K104" s="37">
        <f>VLOOKUP(I$6,Data!$A$3:$G$8,5,FALSE)</f>
        <v>0.06</v>
      </c>
      <c r="L104" s="58">
        <f t="shared" si="22"/>
        <v>587.65906118117766</v>
      </c>
      <c r="M104" s="75">
        <f>L104*VLOOKUP(I$6,Data!$A$4:$G$8,2,FALSE)</f>
        <v>3525.9543670870662</v>
      </c>
      <c r="N104" s="75">
        <f t="shared" si="23"/>
        <v>-587.659061181178</v>
      </c>
      <c r="O104" s="11">
        <f>O103*(1+VLOOKUP(O$6,Data!$A$3:$G$8,6,0))^(1/12)</f>
        <v>11354.559893554186</v>
      </c>
      <c r="P104" s="59">
        <f>O104*VLOOKUP(O$6,Data!$A$4:$G$8,3,FALSE)</f>
        <v>11354.559893554186</v>
      </c>
      <c r="Q104" s="37">
        <f>VLOOKUP(O$6,Data!$A$3:$G$8,5,FALSE)</f>
        <v>0.05</v>
      </c>
      <c r="R104" s="58">
        <f t="shared" si="24"/>
        <v>567.72799467770926</v>
      </c>
      <c r="S104" s="75">
        <f>R104*VLOOKUP(O$6,Data!$A$4:$G$8,2,FALSE)</f>
        <v>4257.9599600828196</v>
      </c>
      <c r="T104" s="75">
        <f t="shared" si="25"/>
        <v>7096.5999334713661</v>
      </c>
      <c r="U104" s="11">
        <f>U103*(1+VLOOKUP(U$6,Data!$A$3:$G$8,6,0))^(1/12)</f>
        <v>12424.838689736227</v>
      </c>
      <c r="V104" s="59">
        <f>U104*VLOOKUP(U$6,Data!$A$4:$G$8,3,FALSE)</f>
        <v>31062.096724340568</v>
      </c>
      <c r="W104" s="37">
        <f>VLOOKUP(U$6,Data!$A$3:$G$8,5,FALSE)</f>
        <v>7.0000000000000007E-2</v>
      </c>
      <c r="X104" s="58">
        <f t="shared" si="26"/>
        <v>869.73870828153599</v>
      </c>
      <c r="Y104" s="75">
        <f>X104*VLOOKUP(U$6,Data!$A$4:$G$8,2,FALSE)</f>
        <v>7392.7790203930563</v>
      </c>
      <c r="Z104" s="82">
        <f t="shared" si="27"/>
        <v>23669.317703947512</v>
      </c>
      <c r="AA104" s="11">
        <f>AA103*(1+VLOOKUP(AA$6,Data!$A$3:$G$8,6,0))^(1/12)</f>
        <v>12599.185950027957</v>
      </c>
      <c r="AB104" s="59">
        <f>AA104*VLOOKUP(AA$6,Data!$A$4:$G$8,3,FALSE)</f>
        <v>34647.761362576879</v>
      </c>
      <c r="AC104" s="37">
        <f>VLOOKUP(AA$6,Data!$A$3:$G$8,5,FALSE)</f>
        <v>0.08</v>
      </c>
      <c r="AD104" s="58">
        <f t="shared" si="28"/>
        <v>1007.9348760022366</v>
      </c>
      <c r="AE104" s="75">
        <f>AD104*VLOOKUP(AA$6,Data!$A$4:$G$8,2,FALSE)</f>
        <v>10079.348760022365</v>
      </c>
      <c r="AF104" s="82">
        <f t="shared" si="29"/>
        <v>24568.412602554512</v>
      </c>
      <c r="AG104" s="61">
        <f t="shared" si="30"/>
        <v>55545.410808846682</v>
      </c>
      <c r="AH104" s="60">
        <f t="shared" ref="AH104:AH127" si="32">fixed_exp</f>
        <v>35000</v>
      </c>
      <c r="AI104" s="60">
        <f t="shared" si="31"/>
        <v>20545.410808846682</v>
      </c>
      <c r="AJ104" s="62">
        <f t="shared" ref="AJ104:AJ127" si="33">(AI104+AJ105)/(1+disc_rate)^(1/12)</f>
        <v>490644.98121915717</v>
      </c>
    </row>
    <row r="105" spans="1:36" x14ac:dyDescent="0.25">
      <c r="A105" s="2">
        <v>98</v>
      </c>
      <c r="B105" s="36">
        <f t="shared" si="19"/>
        <v>9</v>
      </c>
      <c r="C105" s="11">
        <f>C104*(1+VLOOKUP(C$6,Data!$A$3:$G$8,6,0))^(1/12)</f>
        <v>5333.7254232838122</v>
      </c>
      <c r="D105" s="59">
        <f>C105*VLOOKUP(C$6,Data!$A$4:$G$8,3,FALSE)</f>
        <v>2666.8627116419061</v>
      </c>
      <c r="E105" s="37">
        <f>VLOOKUP(C$6,Data!$A$3:$G$8,5,FALSE)</f>
        <v>7.0000000000000007E-2</v>
      </c>
      <c r="F105" s="58">
        <f t="shared" si="20"/>
        <v>373.3607796298669</v>
      </c>
      <c r="G105" s="75">
        <f>F105*VLOOKUP(C$6,Data!$A$4:$G$8,2,FALSE)</f>
        <v>1866.8038981493346</v>
      </c>
      <c r="H105" s="75">
        <f t="shared" si="21"/>
        <v>800.05881349257152</v>
      </c>
      <c r="I105" s="11">
        <f>I104*(1+VLOOKUP(I$6,Data!$A$3:$G$8,6,0))^(1/12)</f>
        <v>9802.4424461778053</v>
      </c>
      <c r="J105" s="59">
        <f>I105*VLOOKUP(I$6,Data!$A$4:$G$8,3,FALSE)</f>
        <v>2940.7327338533414</v>
      </c>
      <c r="K105" s="37">
        <f>VLOOKUP(I$6,Data!$A$3:$G$8,5,FALSE)</f>
        <v>0.06</v>
      </c>
      <c r="L105" s="58">
        <f t="shared" si="22"/>
        <v>588.14654677066835</v>
      </c>
      <c r="M105" s="75">
        <f>L105*VLOOKUP(I$6,Data!$A$4:$G$8,2,FALSE)</f>
        <v>3528.8792806240099</v>
      </c>
      <c r="N105" s="75">
        <f t="shared" si="23"/>
        <v>-588.14654677066846</v>
      </c>
      <c r="O105" s="11">
        <f>O104*(1+VLOOKUP(O$6,Data!$A$3:$G$8,6,0))^(1/12)</f>
        <v>11400.819776069375</v>
      </c>
      <c r="P105" s="59">
        <f>O105*VLOOKUP(O$6,Data!$A$4:$G$8,3,FALSE)</f>
        <v>11400.819776069375</v>
      </c>
      <c r="Q105" s="37">
        <f>VLOOKUP(O$6,Data!$A$3:$G$8,5,FALSE)</f>
        <v>0.05</v>
      </c>
      <c r="R105" s="58">
        <f t="shared" si="24"/>
        <v>570.04098880346874</v>
      </c>
      <c r="S105" s="75">
        <f>R105*VLOOKUP(O$6,Data!$A$4:$G$8,2,FALSE)</f>
        <v>4275.3074160260157</v>
      </c>
      <c r="T105" s="75">
        <f t="shared" si="25"/>
        <v>7125.512360043359</v>
      </c>
      <c r="U105" s="11">
        <f>U104*(1+VLOOKUP(U$6,Data!$A$3:$G$8,6,0))^(1/12)</f>
        <v>12445.359320995571</v>
      </c>
      <c r="V105" s="59">
        <f>U105*VLOOKUP(U$6,Data!$A$4:$G$8,3,FALSE)</f>
        <v>31113.398302488928</v>
      </c>
      <c r="W105" s="37">
        <f>VLOOKUP(U$6,Data!$A$3:$G$8,5,FALSE)</f>
        <v>7.0000000000000007E-2</v>
      </c>
      <c r="X105" s="58">
        <f t="shared" si="26"/>
        <v>871.17515246969003</v>
      </c>
      <c r="Y105" s="75">
        <f>X105*VLOOKUP(U$6,Data!$A$4:$G$8,2,FALSE)</f>
        <v>7404.9887959923653</v>
      </c>
      <c r="Z105" s="82">
        <f t="shared" si="27"/>
        <v>23708.409506496562</v>
      </c>
      <c r="AA105" s="11">
        <f>AA104*(1+VLOOKUP(AA$6,Data!$A$3:$G$8,6,0))^(1/12)</f>
        <v>12630.258941492144</v>
      </c>
      <c r="AB105" s="59">
        <f>AA105*VLOOKUP(AA$6,Data!$A$4:$G$8,3,FALSE)</f>
        <v>34733.212089103399</v>
      </c>
      <c r="AC105" s="37">
        <f>VLOOKUP(AA$6,Data!$A$3:$G$8,5,FALSE)</f>
        <v>0.08</v>
      </c>
      <c r="AD105" s="58">
        <f t="shared" si="28"/>
        <v>1010.4207153193715</v>
      </c>
      <c r="AE105" s="75">
        <f>AD105*VLOOKUP(AA$6,Data!$A$4:$G$8,2,FALSE)</f>
        <v>10104.207153193714</v>
      </c>
      <c r="AF105" s="82">
        <f t="shared" si="29"/>
        <v>24629.004935909685</v>
      </c>
      <c r="AG105" s="61">
        <f t="shared" si="30"/>
        <v>55674.839069171503</v>
      </c>
      <c r="AH105" s="60">
        <f t="shared" si="32"/>
        <v>35000</v>
      </c>
      <c r="AI105" s="60">
        <f t="shared" si="31"/>
        <v>20674.839069171503</v>
      </c>
      <c r="AJ105" s="62">
        <f t="shared" si="33"/>
        <v>473065.47959145543</v>
      </c>
    </row>
    <row r="106" spans="1:36" x14ac:dyDescent="0.25">
      <c r="A106" s="2">
        <v>99</v>
      </c>
      <c r="B106" s="36">
        <f t="shared" si="19"/>
        <v>9</v>
      </c>
      <c r="C106" s="11">
        <f>C105*(1+VLOOKUP(C$6,Data!$A$3:$G$8,6,0))^(1/12)</f>
        <v>5342.5345044624846</v>
      </c>
      <c r="D106" s="59">
        <f>C106*VLOOKUP(C$6,Data!$A$4:$G$8,3,FALSE)</f>
        <v>2671.2672522312423</v>
      </c>
      <c r="E106" s="37">
        <f>VLOOKUP(C$6,Data!$A$3:$G$8,5,FALSE)</f>
        <v>7.0000000000000007E-2</v>
      </c>
      <c r="F106" s="58">
        <f t="shared" si="20"/>
        <v>373.97741531237398</v>
      </c>
      <c r="G106" s="75">
        <f>F106*VLOOKUP(C$6,Data!$A$4:$G$8,2,FALSE)</f>
        <v>1869.8870765618699</v>
      </c>
      <c r="H106" s="75">
        <f t="shared" si="21"/>
        <v>801.38017566937242</v>
      </c>
      <c r="I106" s="11">
        <f>I105*(1+VLOOKUP(I$6,Data!$A$3:$G$8,6,0))^(1/12)</f>
        <v>9810.5739458005937</v>
      </c>
      <c r="J106" s="59">
        <f>I106*VLOOKUP(I$6,Data!$A$4:$G$8,3,FALSE)</f>
        <v>2943.1721837401778</v>
      </c>
      <c r="K106" s="37">
        <f>VLOOKUP(I$6,Data!$A$3:$G$8,5,FALSE)</f>
        <v>0.06</v>
      </c>
      <c r="L106" s="58">
        <f t="shared" si="22"/>
        <v>588.63443674803557</v>
      </c>
      <c r="M106" s="75">
        <f>L106*VLOOKUP(I$6,Data!$A$4:$G$8,2,FALSE)</f>
        <v>3531.8066204882134</v>
      </c>
      <c r="N106" s="75">
        <f t="shared" si="23"/>
        <v>-588.63443674803557</v>
      </c>
      <c r="O106" s="11">
        <f>O105*(1+VLOOKUP(O$6,Data!$A$3:$G$8,6,0))^(1/12)</f>
        <v>11447.268127072148</v>
      </c>
      <c r="P106" s="59">
        <f>O106*VLOOKUP(O$6,Data!$A$4:$G$8,3,FALSE)</f>
        <v>11447.268127072148</v>
      </c>
      <c r="Q106" s="37">
        <f>VLOOKUP(O$6,Data!$A$3:$G$8,5,FALSE)</f>
        <v>0.05</v>
      </c>
      <c r="R106" s="58">
        <f t="shared" si="24"/>
        <v>572.36340635360739</v>
      </c>
      <c r="S106" s="75">
        <f>R106*VLOOKUP(O$6,Data!$A$4:$G$8,2,FALSE)</f>
        <v>4292.725547652055</v>
      </c>
      <c r="T106" s="75">
        <f t="shared" si="25"/>
        <v>7154.5425794200928</v>
      </c>
      <c r="U106" s="11">
        <f>U105*(1+VLOOKUP(U$6,Data!$A$3:$G$8,6,0))^(1/12)</f>
        <v>12465.913843745806</v>
      </c>
      <c r="V106" s="59">
        <f>U106*VLOOKUP(U$6,Data!$A$4:$G$8,3,FALSE)</f>
        <v>31164.784609364513</v>
      </c>
      <c r="W106" s="37">
        <f>VLOOKUP(U$6,Data!$A$3:$G$8,5,FALSE)</f>
        <v>7.0000000000000007E-2</v>
      </c>
      <c r="X106" s="58">
        <f t="shared" si="26"/>
        <v>872.61396906220648</v>
      </c>
      <c r="Y106" s="75">
        <f>X106*VLOOKUP(U$6,Data!$A$4:$G$8,2,FALSE)</f>
        <v>7417.2187370287547</v>
      </c>
      <c r="Z106" s="82">
        <f t="shared" si="27"/>
        <v>23747.565872335759</v>
      </c>
      <c r="AA106" s="11">
        <f>AA105*(1+VLOOKUP(AA$6,Data!$A$3:$G$8,6,0))^(1/12)</f>
        <v>12661.408567335915</v>
      </c>
      <c r="AB106" s="59">
        <f>AA106*VLOOKUP(AA$6,Data!$A$4:$G$8,3,FALSE)</f>
        <v>34818.873560173764</v>
      </c>
      <c r="AC106" s="37">
        <f>VLOOKUP(AA$6,Data!$A$3:$G$8,5,FALSE)</f>
        <v>0.08</v>
      </c>
      <c r="AD106" s="58">
        <f t="shared" si="28"/>
        <v>1012.9126853868732</v>
      </c>
      <c r="AE106" s="75">
        <f>AD106*VLOOKUP(AA$6,Data!$A$4:$G$8,2,FALSE)</f>
        <v>10129.126853868733</v>
      </c>
      <c r="AF106" s="82">
        <f t="shared" si="29"/>
        <v>24689.746706305032</v>
      </c>
      <c r="AG106" s="61">
        <f t="shared" si="30"/>
        <v>55804.600896982221</v>
      </c>
      <c r="AH106" s="60">
        <f t="shared" si="32"/>
        <v>35000</v>
      </c>
      <c r="AI106" s="60">
        <f t="shared" si="31"/>
        <v>20804.600896982221</v>
      </c>
      <c r="AJ106" s="62">
        <f t="shared" si="33"/>
        <v>455250.28303960199</v>
      </c>
    </row>
    <row r="107" spans="1:36" x14ac:dyDescent="0.25">
      <c r="A107" s="2">
        <v>100</v>
      </c>
      <c r="B107" s="36">
        <f t="shared" si="19"/>
        <v>9</v>
      </c>
      <c r="C107" s="11">
        <f>C106*(1+VLOOKUP(C$6,Data!$A$3:$G$8,6,0))^(1/12)</f>
        <v>5351.3581345549183</v>
      </c>
      <c r="D107" s="59">
        <f>C107*VLOOKUP(C$6,Data!$A$4:$G$8,3,FALSE)</f>
        <v>2675.6790672774591</v>
      </c>
      <c r="E107" s="37">
        <f>VLOOKUP(C$6,Data!$A$3:$G$8,5,FALSE)</f>
        <v>7.0000000000000007E-2</v>
      </c>
      <c r="F107" s="58">
        <f t="shared" si="20"/>
        <v>374.59506941884433</v>
      </c>
      <c r="G107" s="75">
        <f>F107*VLOOKUP(C$6,Data!$A$4:$G$8,2,FALSE)</f>
        <v>1872.9753470942217</v>
      </c>
      <c r="H107" s="75">
        <f t="shared" si="21"/>
        <v>802.70372018323746</v>
      </c>
      <c r="I107" s="11">
        <f>I106*(1+VLOOKUP(I$6,Data!$A$3:$G$8,6,0))^(1/12)</f>
        <v>9818.7121908122463</v>
      </c>
      <c r="J107" s="59">
        <f>I107*VLOOKUP(I$6,Data!$A$4:$G$8,3,FALSE)</f>
        <v>2945.613657243674</v>
      </c>
      <c r="K107" s="37">
        <f>VLOOKUP(I$6,Data!$A$3:$G$8,5,FALSE)</f>
        <v>0.06</v>
      </c>
      <c r="L107" s="58">
        <f t="shared" si="22"/>
        <v>589.12273144873473</v>
      </c>
      <c r="M107" s="75">
        <f>L107*VLOOKUP(I$6,Data!$A$4:$G$8,2,FALSE)</f>
        <v>3534.7363886924086</v>
      </c>
      <c r="N107" s="75">
        <f t="shared" si="23"/>
        <v>-589.12273144873461</v>
      </c>
      <c r="O107" s="11">
        <f>O106*(1+VLOOKUP(O$6,Data!$A$3:$G$8,6,0))^(1/12)</f>
        <v>11493.905714406452</v>
      </c>
      <c r="P107" s="59">
        <f>O107*VLOOKUP(O$6,Data!$A$4:$G$8,3,FALSE)</f>
        <v>11493.905714406452</v>
      </c>
      <c r="Q107" s="37">
        <f>VLOOKUP(O$6,Data!$A$3:$G$8,5,FALSE)</f>
        <v>0.05</v>
      </c>
      <c r="R107" s="58">
        <f t="shared" si="24"/>
        <v>574.69528572032266</v>
      </c>
      <c r="S107" s="75">
        <f>R107*VLOOKUP(O$6,Data!$A$4:$G$8,2,FALSE)</f>
        <v>4310.2146429024197</v>
      </c>
      <c r="T107" s="75">
        <f t="shared" si="25"/>
        <v>7183.6910715040322</v>
      </c>
      <c r="U107" s="11">
        <f>U106*(1+VLOOKUP(U$6,Data!$A$3:$G$8,6,0))^(1/12)</f>
        <v>12486.502313961484</v>
      </c>
      <c r="V107" s="59">
        <f>U107*VLOOKUP(U$6,Data!$A$4:$G$8,3,FALSE)</f>
        <v>31216.255784903711</v>
      </c>
      <c r="W107" s="37">
        <f>VLOOKUP(U$6,Data!$A$3:$G$8,5,FALSE)</f>
        <v>7.0000000000000007E-2</v>
      </c>
      <c r="X107" s="58">
        <f t="shared" si="26"/>
        <v>874.05516197730401</v>
      </c>
      <c r="Y107" s="75">
        <f>X107*VLOOKUP(U$6,Data!$A$4:$G$8,2,FALSE)</f>
        <v>7429.4688768070837</v>
      </c>
      <c r="Z107" s="82">
        <f t="shared" si="27"/>
        <v>23786.786908096627</v>
      </c>
      <c r="AA107" s="11">
        <f>AA106*(1+VLOOKUP(AA$6,Data!$A$3:$G$8,6,0))^(1/12)</f>
        <v>12692.635016560322</v>
      </c>
      <c r="AB107" s="59">
        <f>AA107*VLOOKUP(AA$6,Data!$A$4:$G$8,3,FALSE)</f>
        <v>34904.746295540885</v>
      </c>
      <c r="AC107" s="37">
        <f>VLOOKUP(AA$6,Data!$A$3:$G$8,5,FALSE)</f>
        <v>0.08</v>
      </c>
      <c r="AD107" s="58">
        <f t="shared" si="28"/>
        <v>1015.4108013248258</v>
      </c>
      <c r="AE107" s="75">
        <f>AD107*VLOOKUP(AA$6,Data!$A$4:$G$8,2,FALSE)</f>
        <v>10154.108013248258</v>
      </c>
      <c r="AF107" s="82">
        <f t="shared" si="29"/>
        <v>24750.638282292624</v>
      </c>
      <c r="AG107" s="61">
        <f t="shared" si="30"/>
        <v>55934.697250627782</v>
      </c>
      <c r="AH107" s="60">
        <f t="shared" si="32"/>
        <v>35000</v>
      </c>
      <c r="AI107" s="60">
        <f t="shared" si="31"/>
        <v>20934.697250627782</v>
      </c>
      <c r="AJ107" s="62">
        <f t="shared" si="33"/>
        <v>437197.63323938003</v>
      </c>
    </row>
    <row r="108" spans="1:36" x14ac:dyDescent="0.25">
      <c r="A108" s="2">
        <v>101</v>
      </c>
      <c r="B108" s="36">
        <f t="shared" si="19"/>
        <v>9</v>
      </c>
      <c r="C108" s="11">
        <f>C107*(1+VLOOKUP(C$6,Data!$A$3:$G$8,6,0))^(1/12)</f>
        <v>5360.1963375898276</v>
      </c>
      <c r="D108" s="59">
        <f>C108*VLOOKUP(C$6,Data!$A$4:$G$8,3,FALSE)</f>
        <v>2680.0981687949138</v>
      </c>
      <c r="E108" s="37">
        <f>VLOOKUP(C$6,Data!$A$3:$G$8,5,FALSE)</f>
        <v>7.0000000000000007E-2</v>
      </c>
      <c r="F108" s="58">
        <f t="shared" si="20"/>
        <v>375.21374363128797</v>
      </c>
      <c r="G108" s="75">
        <f>F108*VLOOKUP(C$6,Data!$A$4:$G$8,2,FALSE)</f>
        <v>1876.0687181564399</v>
      </c>
      <c r="H108" s="75">
        <f t="shared" si="21"/>
        <v>804.02945063847392</v>
      </c>
      <c r="I108" s="11">
        <f>I107*(1+VLOOKUP(I$6,Data!$A$3:$G$8,6,0))^(1/12)</f>
        <v>9826.85718680832</v>
      </c>
      <c r="J108" s="59">
        <f>I108*VLOOKUP(I$6,Data!$A$4:$G$8,3,FALSE)</f>
        <v>2948.057156042496</v>
      </c>
      <c r="K108" s="37">
        <f>VLOOKUP(I$6,Data!$A$3:$G$8,5,FALSE)</f>
        <v>0.06</v>
      </c>
      <c r="L108" s="58">
        <f t="shared" si="22"/>
        <v>589.6114312084992</v>
      </c>
      <c r="M108" s="75">
        <f>L108*VLOOKUP(I$6,Data!$A$4:$G$8,2,FALSE)</f>
        <v>3537.6685872509952</v>
      </c>
      <c r="N108" s="75">
        <f t="shared" si="23"/>
        <v>-589.6114312084992</v>
      </c>
      <c r="O108" s="11">
        <f>O107*(1+VLOOKUP(O$6,Data!$A$3:$G$8,6,0))^(1/12)</f>
        <v>11540.733309044526</v>
      </c>
      <c r="P108" s="59">
        <f>O108*VLOOKUP(O$6,Data!$A$4:$G$8,3,FALSE)</f>
        <v>11540.733309044526</v>
      </c>
      <c r="Q108" s="37">
        <f>VLOOKUP(O$6,Data!$A$3:$G$8,5,FALSE)</f>
        <v>0.05</v>
      </c>
      <c r="R108" s="58">
        <f t="shared" si="24"/>
        <v>577.03666545222632</v>
      </c>
      <c r="S108" s="75">
        <f>R108*VLOOKUP(O$6,Data!$A$4:$G$8,2,FALSE)</f>
        <v>4327.7749908916976</v>
      </c>
      <c r="T108" s="75">
        <f t="shared" si="25"/>
        <v>7212.9583181528287</v>
      </c>
      <c r="U108" s="11">
        <f>U107*(1+VLOOKUP(U$6,Data!$A$3:$G$8,6,0))^(1/12)</f>
        <v>12507.124787709607</v>
      </c>
      <c r="V108" s="59">
        <f>U108*VLOOKUP(U$6,Data!$A$4:$G$8,3,FALSE)</f>
        <v>31267.811969274015</v>
      </c>
      <c r="W108" s="37">
        <f>VLOOKUP(U$6,Data!$A$3:$G$8,5,FALSE)</f>
        <v>7.0000000000000007E-2</v>
      </c>
      <c r="X108" s="58">
        <f t="shared" si="26"/>
        <v>875.49873513967259</v>
      </c>
      <c r="Y108" s="75">
        <f>X108*VLOOKUP(U$6,Data!$A$4:$G$8,2,FALSE)</f>
        <v>7441.7392486872168</v>
      </c>
      <c r="Z108" s="82">
        <f t="shared" si="27"/>
        <v>23826.072720586799</v>
      </c>
      <c r="AA108" s="11">
        <f>AA107*(1+VLOOKUP(AA$6,Data!$A$3:$G$8,6,0))^(1/12)</f>
        <v>12723.938478632548</v>
      </c>
      <c r="AB108" s="59">
        <f>AA108*VLOOKUP(AA$6,Data!$A$4:$G$8,3,FALSE)</f>
        <v>34990.830816239504</v>
      </c>
      <c r="AC108" s="37">
        <f>VLOOKUP(AA$6,Data!$A$3:$G$8,5,FALSE)</f>
        <v>0.08</v>
      </c>
      <c r="AD108" s="58">
        <f t="shared" si="28"/>
        <v>1017.9150782906039</v>
      </c>
      <c r="AE108" s="75">
        <f>AD108*VLOOKUP(AA$6,Data!$A$4:$G$8,2,FALSE)</f>
        <v>10179.150782906039</v>
      </c>
      <c r="AF108" s="82">
        <f t="shared" si="29"/>
        <v>24811.680033333465</v>
      </c>
      <c r="AG108" s="61">
        <f t="shared" si="30"/>
        <v>56065.12909150307</v>
      </c>
      <c r="AH108" s="60">
        <f t="shared" si="32"/>
        <v>35000</v>
      </c>
      <c r="AI108" s="60">
        <f t="shared" si="31"/>
        <v>21065.12909150307</v>
      </c>
      <c r="AJ108" s="62">
        <f t="shared" si="33"/>
        <v>418905.76027929626</v>
      </c>
    </row>
    <row r="109" spans="1:36" x14ac:dyDescent="0.25">
      <c r="A109" s="2">
        <v>102</v>
      </c>
      <c r="B109" s="36">
        <f t="shared" si="19"/>
        <v>9</v>
      </c>
      <c r="C109" s="11">
        <f>C108*(1+VLOOKUP(C$6,Data!$A$3:$G$8,6,0))^(1/12)</f>
        <v>5369.0491376356122</v>
      </c>
      <c r="D109" s="59">
        <f>C109*VLOOKUP(C$6,Data!$A$4:$G$8,3,FALSE)</f>
        <v>2684.5245688178061</v>
      </c>
      <c r="E109" s="37">
        <f>VLOOKUP(C$6,Data!$A$3:$G$8,5,FALSE)</f>
        <v>7.0000000000000007E-2</v>
      </c>
      <c r="F109" s="58">
        <f t="shared" si="20"/>
        <v>375.83343963449289</v>
      </c>
      <c r="G109" s="75">
        <f>F109*VLOOKUP(C$6,Data!$A$4:$G$8,2,FALSE)</f>
        <v>1879.1671981724644</v>
      </c>
      <c r="H109" s="75">
        <f t="shared" si="21"/>
        <v>805.35737064534169</v>
      </c>
      <c r="I109" s="11">
        <f>I108*(1+VLOOKUP(I$6,Data!$A$3:$G$8,6,0))^(1/12)</f>
        <v>9835.0089393890139</v>
      </c>
      <c r="J109" s="59">
        <f>I109*VLOOKUP(I$6,Data!$A$4:$G$8,3,FALSE)</f>
        <v>2950.5026818167039</v>
      </c>
      <c r="K109" s="37">
        <f>VLOOKUP(I$6,Data!$A$3:$G$8,5,FALSE)</f>
        <v>0.06</v>
      </c>
      <c r="L109" s="58">
        <f t="shared" si="22"/>
        <v>590.10053636334078</v>
      </c>
      <c r="M109" s="75">
        <f>L109*VLOOKUP(I$6,Data!$A$4:$G$8,2,FALSE)</f>
        <v>3540.6032181800447</v>
      </c>
      <c r="N109" s="75">
        <f t="shared" si="23"/>
        <v>-590.10053636334078</v>
      </c>
      <c r="O109" s="11">
        <f>O108*(1+VLOOKUP(O$6,Data!$A$3:$G$8,6,0))^(1/12)</f>
        <v>11587.751685099647</v>
      </c>
      <c r="P109" s="59">
        <f>O109*VLOOKUP(O$6,Data!$A$4:$G$8,3,FALSE)</f>
        <v>11587.751685099647</v>
      </c>
      <c r="Q109" s="37">
        <f>VLOOKUP(O$6,Data!$A$3:$G$8,5,FALSE)</f>
        <v>0.05</v>
      </c>
      <c r="R109" s="58">
        <f t="shared" si="24"/>
        <v>579.38758425498236</v>
      </c>
      <c r="S109" s="75">
        <f>R109*VLOOKUP(O$6,Data!$A$4:$G$8,2,FALSE)</f>
        <v>4345.4068819123677</v>
      </c>
      <c r="T109" s="75">
        <f t="shared" si="25"/>
        <v>7242.3448031872795</v>
      </c>
      <c r="U109" s="11">
        <f>U108*(1+VLOOKUP(U$6,Data!$A$3:$G$8,6,0))^(1/12)</f>
        <v>12527.781321149771</v>
      </c>
      <c r="V109" s="59">
        <f>U109*VLOOKUP(U$6,Data!$A$4:$G$8,3,FALSE)</f>
        <v>31319.453302874426</v>
      </c>
      <c r="W109" s="37">
        <f>VLOOKUP(U$6,Data!$A$3:$G$8,5,FALSE)</f>
        <v>7.0000000000000007E-2</v>
      </c>
      <c r="X109" s="58">
        <f t="shared" si="26"/>
        <v>876.94469248048404</v>
      </c>
      <c r="Y109" s="75">
        <f>X109*VLOOKUP(U$6,Data!$A$4:$G$8,2,FALSE)</f>
        <v>7454.029886084114</v>
      </c>
      <c r="Z109" s="82">
        <f t="shared" si="27"/>
        <v>23865.423416790312</v>
      </c>
      <c r="AA109" s="11">
        <f>AA108*(1+VLOOKUP(AA$6,Data!$A$3:$G$8,6,0))^(1/12)</f>
        <v>12755.319143487051</v>
      </c>
      <c r="AB109" s="59">
        <f>AA109*VLOOKUP(AA$6,Data!$A$4:$G$8,3,FALSE)</f>
        <v>35077.127644589389</v>
      </c>
      <c r="AC109" s="37">
        <f>VLOOKUP(AA$6,Data!$A$3:$G$8,5,FALSE)</f>
        <v>0.08</v>
      </c>
      <c r="AD109" s="58">
        <f t="shared" si="28"/>
        <v>1020.4255314789641</v>
      </c>
      <c r="AE109" s="75">
        <f>AD109*VLOOKUP(AA$6,Data!$A$4:$G$8,2,FALSE)</f>
        <v>10204.255314789641</v>
      </c>
      <c r="AF109" s="82">
        <f t="shared" si="29"/>
        <v>24872.872329799749</v>
      </c>
      <c r="AG109" s="61">
        <f t="shared" si="30"/>
        <v>56195.897384059339</v>
      </c>
      <c r="AH109" s="60">
        <f t="shared" si="32"/>
        <v>35000</v>
      </c>
      <c r="AI109" s="60">
        <f t="shared" si="31"/>
        <v>21195.897384059339</v>
      </c>
      <c r="AJ109" s="62">
        <f t="shared" si="33"/>
        <v>400372.88258749084</v>
      </c>
    </row>
    <row r="110" spans="1:36" x14ac:dyDescent="0.25">
      <c r="A110" s="2">
        <v>103</v>
      </c>
      <c r="B110" s="36">
        <f t="shared" si="19"/>
        <v>9</v>
      </c>
      <c r="C110" s="11">
        <f>C109*(1+VLOOKUP(C$6,Data!$A$3:$G$8,6,0))^(1/12)</f>
        <v>5377.9165588004216</v>
      </c>
      <c r="D110" s="59">
        <f>C110*VLOOKUP(C$6,Data!$A$4:$G$8,3,FALSE)</f>
        <v>2688.9582794002108</v>
      </c>
      <c r="E110" s="37">
        <f>VLOOKUP(C$6,Data!$A$3:$G$8,5,FALSE)</f>
        <v>7.0000000000000007E-2</v>
      </c>
      <c r="F110" s="58">
        <f t="shared" si="20"/>
        <v>376.45415911602953</v>
      </c>
      <c r="G110" s="75">
        <f>F110*VLOOKUP(C$6,Data!$A$4:$G$8,2,FALSE)</f>
        <v>1882.2707955801477</v>
      </c>
      <c r="H110" s="75">
        <f t="shared" si="21"/>
        <v>806.68748382006311</v>
      </c>
      <c r="I110" s="11">
        <f>I109*(1+VLOOKUP(I$6,Data!$A$3:$G$8,6,0))^(1/12)</f>
        <v>9843.1674541591728</v>
      </c>
      <c r="J110" s="59">
        <f>I110*VLOOKUP(I$6,Data!$A$4:$G$8,3,FALSE)</f>
        <v>2952.9502362477519</v>
      </c>
      <c r="K110" s="37">
        <f>VLOOKUP(I$6,Data!$A$3:$G$8,5,FALSE)</f>
        <v>0.06</v>
      </c>
      <c r="L110" s="58">
        <f t="shared" si="22"/>
        <v>590.59004724955037</v>
      </c>
      <c r="M110" s="75">
        <f>L110*VLOOKUP(I$6,Data!$A$4:$G$8,2,FALSE)</f>
        <v>3543.540283497302</v>
      </c>
      <c r="N110" s="75">
        <f t="shared" si="23"/>
        <v>-590.59004724955003</v>
      </c>
      <c r="O110" s="11">
        <f>O109*(1+VLOOKUP(O$6,Data!$A$3:$G$8,6,0))^(1/12)</f>
        <v>11634.961619838923</v>
      </c>
      <c r="P110" s="59">
        <f>O110*VLOOKUP(O$6,Data!$A$4:$G$8,3,FALSE)</f>
        <v>11634.961619838923</v>
      </c>
      <c r="Q110" s="37">
        <f>VLOOKUP(O$6,Data!$A$3:$G$8,5,FALSE)</f>
        <v>0.05</v>
      </c>
      <c r="R110" s="58">
        <f t="shared" si="24"/>
        <v>581.74808099194615</v>
      </c>
      <c r="S110" s="75">
        <f>R110*VLOOKUP(O$6,Data!$A$4:$G$8,2,FALSE)</f>
        <v>4363.1106074395957</v>
      </c>
      <c r="T110" s="75">
        <f t="shared" si="25"/>
        <v>7271.8510123993274</v>
      </c>
      <c r="U110" s="11">
        <f>U109*(1+VLOOKUP(U$6,Data!$A$3:$G$8,6,0))^(1/12)</f>
        <v>12548.471970534327</v>
      </c>
      <c r="V110" s="59">
        <f>U110*VLOOKUP(U$6,Data!$A$4:$G$8,3,FALSE)</f>
        <v>31371.179926335819</v>
      </c>
      <c r="W110" s="37">
        <f>VLOOKUP(U$6,Data!$A$3:$G$8,5,FALSE)</f>
        <v>7.0000000000000007E-2</v>
      </c>
      <c r="X110" s="58">
        <f t="shared" si="26"/>
        <v>878.39303793740294</v>
      </c>
      <c r="Y110" s="75">
        <f>X110*VLOOKUP(U$6,Data!$A$4:$G$8,2,FALSE)</f>
        <v>7466.3408224679251</v>
      </c>
      <c r="Z110" s="82">
        <f t="shared" si="27"/>
        <v>23904.839103867893</v>
      </c>
      <c r="AA110" s="11">
        <f>AA109*(1+VLOOKUP(AA$6,Data!$A$3:$G$8,6,0))^(1/12)</f>
        <v>12786.77720152672</v>
      </c>
      <c r="AB110" s="59">
        <f>AA110*VLOOKUP(AA$6,Data!$A$4:$G$8,3,FALSE)</f>
        <v>35163.637304198477</v>
      </c>
      <c r="AC110" s="37">
        <f>VLOOKUP(AA$6,Data!$A$3:$G$8,5,FALSE)</f>
        <v>0.08</v>
      </c>
      <c r="AD110" s="58">
        <f t="shared" si="28"/>
        <v>1022.9421761221377</v>
      </c>
      <c r="AE110" s="75">
        <f>AD110*VLOOKUP(AA$6,Data!$A$4:$G$8,2,FALSE)</f>
        <v>10229.421761221376</v>
      </c>
      <c r="AF110" s="82">
        <f t="shared" si="29"/>
        <v>24934.215542977101</v>
      </c>
      <c r="AG110" s="61">
        <f t="shared" si="30"/>
        <v>56327.003095814835</v>
      </c>
      <c r="AH110" s="60">
        <f t="shared" si="32"/>
        <v>35000</v>
      </c>
      <c r="AI110" s="60">
        <f t="shared" si="31"/>
        <v>21327.003095814835</v>
      </c>
      <c r="AJ110" s="62">
        <f t="shared" si="33"/>
        <v>381597.20685819513</v>
      </c>
    </row>
    <row r="111" spans="1:36" x14ac:dyDescent="0.25">
      <c r="A111" s="2">
        <v>104</v>
      </c>
      <c r="B111" s="36">
        <f t="shared" si="19"/>
        <v>9</v>
      </c>
      <c r="C111" s="11">
        <f>C110*(1+VLOOKUP(C$6,Data!$A$3:$G$8,6,0))^(1/12)</f>
        <v>5386.7986252322235</v>
      </c>
      <c r="D111" s="59">
        <f>C111*VLOOKUP(C$6,Data!$A$4:$G$8,3,FALSE)</f>
        <v>2693.3993126161117</v>
      </c>
      <c r="E111" s="37">
        <f>VLOOKUP(C$6,Data!$A$3:$G$8,5,FALSE)</f>
        <v>7.0000000000000007E-2</v>
      </c>
      <c r="F111" s="58">
        <f t="shared" si="20"/>
        <v>377.07590376625569</v>
      </c>
      <c r="G111" s="75">
        <f>F111*VLOOKUP(C$6,Data!$A$4:$G$8,2,FALSE)</f>
        <v>1885.3795188312783</v>
      </c>
      <c r="H111" s="75">
        <f t="shared" si="21"/>
        <v>808.01979378483338</v>
      </c>
      <c r="I111" s="11">
        <f>I110*(1+VLOOKUP(I$6,Data!$A$3:$G$8,6,0))^(1/12)</f>
        <v>9851.3327367282891</v>
      </c>
      <c r="J111" s="59">
        <f>I111*VLOOKUP(I$6,Data!$A$4:$G$8,3,FALSE)</f>
        <v>2955.3998210184868</v>
      </c>
      <c r="K111" s="37">
        <f>VLOOKUP(I$6,Data!$A$3:$G$8,5,FALSE)</f>
        <v>0.06</v>
      </c>
      <c r="L111" s="58">
        <f t="shared" si="22"/>
        <v>591.07996420369727</v>
      </c>
      <c r="M111" s="75">
        <f>L111*VLOOKUP(I$6,Data!$A$4:$G$8,2,FALSE)</f>
        <v>3546.4797852221836</v>
      </c>
      <c r="N111" s="75">
        <f t="shared" si="23"/>
        <v>-591.07996420369682</v>
      </c>
      <c r="O111" s="11">
        <f>O110*(1+VLOOKUP(O$6,Data!$A$3:$G$8,6,0))^(1/12)</f>
        <v>11682.363893696145</v>
      </c>
      <c r="P111" s="59">
        <f>O111*VLOOKUP(O$6,Data!$A$4:$G$8,3,FALSE)</f>
        <v>11682.363893696145</v>
      </c>
      <c r="Q111" s="37">
        <f>VLOOKUP(O$6,Data!$A$3:$G$8,5,FALSE)</f>
        <v>0.05</v>
      </c>
      <c r="R111" s="58">
        <f t="shared" si="24"/>
        <v>584.11819468480724</v>
      </c>
      <c r="S111" s="75">
        <f>R111*VLOOKUP(O$6,Data!$A$4:$G$8,2,FALSE)</f>
        <v>4380.8864601360547</v>
      </c>
      <c r="T111" s="75">
        <f t="shared" si="25"/>
        <v>7301.4774335600905</v>
      </c>
      <c r="U111" s="11">
        <f>U110*(1+VLOOKUP(U$6,Data!$A$3:$G$8,6,0))^(1/12)</f>
        <v>12569.196792208531</v>
      </c>
      <c r="V111" s="59">
        <f>U111*VLOOKUP(U$6,Data!$A$4:$G$8,3,FALSE)</f>
        <v>31422.991980521329</v>
      </c>
      <c r="W111" s="37">
        <f>VLOOKUP(U$6,Data!$A$3:$G$8,5,FALSE)</f>
        <v>7.0000000000000007E-2</v>
      </c>
      <c r="X111" s="58">
        <f t="shared" si="26"/>
        <v>879.84377545459733</v>
      </c>
      <c r="Y111" s="75">
        <f>X111*VLOOKUP(U$6,Data!$A$4:$G$8,2,FALSE)</f>
        <v>7478.6720913640775</v>
      </c>
      <c r="Z111" s="82">
        <f t="shared" si="27"/>
        <v>23944.31988915725</v>
      </c>
      <c r="AA111" s="11">
        <f>AA110*(1+VLOOKUP(AA$6,Data!$A$3:$G$8,6,0))^(1/12)</f>
        <v>12818.312843624028</v>
      </c>
      <c r="AB111" s="59">
        <f>AA111*VLOOKUP(AA$6,Data!$A$4:$G$8,3,FALSE)</f>
        <v>35250.360319966079</v>
      </c>
      <c r="AC111" s="37">
        <f>VLOOKUP(AA$6,Data!$A$3:$G$8,5,FALSE)</f>
        <v>0.08</v>
      </c>
      <c r="AD111" s="58">
        <f t="shared" si="28"/>
        <v>1025.4650274899222</v>
      </c>
      <c r="AE111" s="75">
        <f>AD111*VLOOKUP(AA$6,Data!$A$4:$G$8,2,FALSE)</f>
        <v>10254.650274899222</v>
      </c>
      <c r="AF111" s="82">
        <f t="shared" si="29"/>
        <v>24995.710045066859</v>
      </c>
      <c r="AG111" s="61">
        <f t="shared" si="30"/>
        <v>56458.447197365334</v>
      </c>
      <c r="AH111" s="60">
        <f t="shared" si="32"/>
        <v>35000</v>
      </c>
      <c r="AI111" s="60">
        <f t="shared" si="31"/>
        <v>21458.447197365334</v>
      </c>
      <c r="AJ111" s="62">
        <f t="shared" si="33"/>
        <v>362576.92797773395</v>
      </c>
    </row>
    <row r="112" spans="1:36" x14ac:dyDescent="0.25">
      <c r="A112" s="2">
        <v>105</v>
      </c>
      <c r="B112" s="36">
        <f t="shared" si="19"/>
        <v>9</v>
      </c>
      <c r="C112" s="11">
        <f>C111*(1+VLOOKUP(C$6,Data!$A$3:$G$8,6,0))^(1/12)</f>
        <v>5395.6953611188665</v>
      </c>
      <c r="D112" s="59">
        <f>C112*VLOOKUP(C$6,Data!$A$4:$G$8,3,FALSE)</f>
        <v>2697.8476805594332</v>
      </c>
      <c r="E112" s="37">
        <f>VLOOKUP(C$6,Data!$A$3:$G$8,5,FALSE)</f>
        <v>7.0000000000000007E-2</v>
      </c>
      <c r="F112" s="58">
        <f t="shared" si="20"/>
        <v>377.69867527832071</v>
      </c>
      <c r="G112" s="75">
        <f>F112*VLOOKUP(C$6,Data!$A$4:$G$8,2,FALSE)</f>
        <v>1888.4933763916035</v>
      </c>
      <c r="H112" s="75">
        <f t="shared" si="21"/>
        <v>809.3543041678297</v>
      </c>
      <c r="I112" s="11">
        <f>I111*(1+VLOOKUP(I$6,Data!$A$3:$G$8,6,0))^(1/12)</f>
        <v>9859.5047927105115</v>
      </c>
      <c r="J112" s="59">
        <f>I112*VLOOKUP(I$6,Data!$A$4:$G$8,3,FALSE)</f>
        <v>2957.8514378131536</v>
      </c>
      <c r="K112" s="37">
        <f>VLOOKUP(I$6,Data!$A$3:$G$8,5,FALSE)</f>
        <v>0.06</v>
      </c>
      <c r="L112" s="58">
        <f t="shared" si="22"/>
        <v>591.57028756263071</v>
      </c>
      <c r="M112" s="75">
        <f>L112*VLOOKUP(I$6,Data!$A$4:$G$8,2,FALSE)</f>
        <v>3549.4217253757843</v>
      </c>
      <c r="N112" s="75">
        <f t="shared" si="23"/>
        <v>-591.57028756263071</v>
      </c>
      <c r="O112" s="11">
        <f>O111*(1+VLOOKUP(O$6,Data!$A$3:$G$8,6,0))^(1/12)</f>
        <v>11729.959290284687</v>
      </c>
      <c r="P112" s="59">
        <f>O112*VLOOKUP(O$6,Data!$A$4:$G$8,3,FALSE)</f>
        <v>11729.959290284687</v>
      </c>
      <c r="Q112" s="37">
        <f>VLOOKUP(O$6,Data!$A$3:$G$8,5,FALSE)</f>
        <v>0.05</v>
      </c>
      <c r="R112" s="58">
        <f t="shared" si="24"/>
        <v>586.49796451423435</v>
      </c>
      <c r="S112" s="75">
        <f>R112*VLOOKUP(O$6,Data!$A$4:$G$8,2,FALSE)</f>
        <v>4398.7347338567579</v>
      </c>
      <c r="T112" s="75">
        <f t="shared" si="25"/>
        <v>7331.2245564279292</v>
      </c>
      <c r="U112" s="11">
        <f>U111*(1+VLOOKUP(U$6,Data!$A$3:$G$8,6,0))^(1/12)</f>
        <v>12589.955842610698</v>
      </c>
      <c r="V112" s="59">
        <f>U112*VLOOKUP(U$6,Data!$A$4:$G$8,3,FALSE)</f>
        <v>31474.889606526744</v>
      </c>
      <c r="W112" s="37">
        <f>VLOOKUP(U$6,Data!$A$3:$G$8,5,FALSE)</f>
        <v>7.0000000000000007E-2</v>
      </c>
      <c r="X112" s="58">
        <f t="shared" si="26"/>
        <v>881.29690898274896</v>
      </c>
      <c r="Y112" s="75">
        <f>X112*VLOOKUP(U$6,Data!$A$4:$G$8,2,FALSE)</f>
        <v>7491.0237263533663</v>
      </c>
      <c r="Z112" s="82">
        <f t="shared" si="27"/>
        <v>23983.865880173376</v>
      </c>
      <c r="AA112" s="11">
        <f>AA111*(1+VLOOKUP(AA$6,Data!$A$3:$G$8,6,0))^(1/12)</f>
        <v>12849.926261122189</v>
      </c>
      <c r="AB112" s="59">
        <f>AA112*VLOOKUP(AA$6,Data!$A$4:$G$8,3,FALSE)</f>
        <v>35337.297218086023</v>
      </c>
      <c r="AC112" s="37">
        <f>VLOOKUP(AA$6,Data!$A$3:$G$8,5,FALSE)</f>
        <v>0.08</v>
      </c>
      <c r="AD112" s="58">
        <f t="shared" si="28"/>
        <v>1027.9941008897752</v>
      </c>
      <c r="AE112" s="75">
        <f>AD112*VLOOKUP(AA$6,Data!$A$4:$G$8,2,FALSE)</f>
        <v>10279.941008897751</v>
      </c>
      <c r="AF112" s="82">
        <f t="shared" si="29"/>
        <v>25057.35620918827</v>
      </c>
      <c r="AG112" s="61">
        <f t="shared" si="30"/>
        <v>56590.230662394773</v>
      </c>
      <c r="AH112" s="60">
        <f t="shared" si="32"/>
        <v>35000</v>
      </c>
      <c r="AI112" s="60">
        <f t="shared" si="31"/>
        <v>21590.230662394773</v>
      </c>
      <c r="AJ112" s="62">
        <f t="shared" si="33"/>
        <v>343310.22895007045</v>
      </c>
    </row>
    <row r="113" spans="1:36" x14ac:dyDescent="0.25">
      <c r="A113" s="2">
        <v>106</v>
      </c>
      <c r="B113" s="36">
        <f t="shared" si="19"/>
        <v>9</v>
      </c>
      <c r="C113" s="11">
        <f>C112*(1+VLOOKUP(C$6,Data!$A$3:$G$8,6,0))^(1/12)</f>
        <v>5404.6067906881481</v>
      </c>
      <c r="D113" s="59">
        <f>C113*VLOOKUP(C$6,Data!$A$4:$G$8,3,FALSE)</f>
        <v>2702.303395344074</v>
      </c>
      <c r="E113" s="37">
        <f>VLOOKUP(C$6,Data!$A$3:$G$8,5,FALSE)</f>
        <v>7.0000000000000007E-2</v>
      </c>
      <c r="F113" s="58">
        <f t="shared" si="20"/>
        <v>378.32247534817043</v>
      </c>
      <c r="G113" s="75">
        <f>F113*VLOOKUP(C$6,Data!$A$4:$G$8,2,FALSE)</f>
        <v>1891.6123767408521</v>
      </c>
      <c r="H113" s="75">
        <f t="shared" si="21"/>
        <v>810.69101860322189</v>
      </c>
      <c r="I113" s="11">
        <f>I112*(1+VLOOKUP(I$6,Data!$A$3:$G$8,6,0))^(1/12)</f>
        <v>9867.6836277246439</v>
      </c>
      <c r="J113" s="59">
        <f>I113*VLOOKUP(I$6,Data!$A$4:$G$8,3,FALSE)</f>
        <v>2960.3050883173933</v>
      </c>
      <c r="K113" s="37">
        <f>VLOOKUP(I$6,Data!$A$3:$G$8,5,FALSE)</f>
        <v>0.06</v>
      </c>
      <c r="L113" s="58">
        <f t="shared" si="22"/>
        <v>592.06101766347865</v>
      </c>
      <c r="M113" s="75">
        <f>L113*VLOOKUP(I$6,Data!$A$4:$G$8,2,FALSE)</f>
        <v>3552.3661059808719</v>
      </c>
      <c r="N113" s="75">
        <f t="shared" si="23"/>
        <v>-592.06101766347865</v>
      </c>
      <c r="O113" s="11">
        <f>O112*(1+VLOOKUP(O$6,Data!$A$3:$G$8,6,0))^(1/12)</f>
        <v>11777.748596410464</v>
      </c>
      <c r="P113" s="59">
        <f>O113*VLOOKUP(O$6,Data!$A$4:$G$8,3,FALSE)</f>
        <v>11777.748596410464</v>
      </c>
      <c r="Q113" s="37">
        <f>VLOOKUP(O$6,Data!$A$3:$G$8,5,FALSE)</f>
        <v>0.05</v>
      </c>
      <c r="R113" s="58">
        <f t="shared" si="24"/>
        <v>588.88742982052315</v>
      </c>
      <c r="S113" s="75">
        <f>R113*VLOOKUP(O$6,Data!$A$4:$G$8,2,FALSE)</f>
        <v>4416.6557236539238</v>
      </c>
      <c r="T113" s="75">
        <f t="shared" si="25"/>
        <v>7361.0928727565397</v>
      </c>
      <c r="U113" s="11">
        <f>U112*(1+VLOOKUP(U$6,Data!$A$3:$G$8,6,0))^(1/12)</f>
        <v>12610.749178272355</v>
      </c>
      <c r="V113" s="59">
        <f>U113*VLOOKUP(U$6,Data!$A$4:$G$8,3,FALSE)</f>
        <v>31526.872945680887</v>
      </c>
      <c r="W113" s="37">
        <f>VLOOKUP(U$6,Data!$A$3:$G$8,5,FALSE)</f>
        <v>7.0000000000000007E-2</v>
      </c>
      <c r="X113" s="58">
        <f t="shared" si="26"/>
        <v>882.75244247906494</v>
      </c>
      <c r="Y113" s="75">
        <f>X113*VLOOKUP(U$6,Data!$A$4:$G$8,2,FALSE)</f>
        <v>7503.3957610720518</v>
      </c>
      <c r="Z113" s="82">
        <f t="shared" si="27"/>
        <v>24023.477184608833</v>
      </c>
      <c r="AA113" s="11">
        <f>AA112*(1+VLOOKUP(AA$6,Data!$A$3:$G$8,6,0))^(1/12)</f>
        <v>12881.617645836326</v>
      </c>
      <c r="AB113" s="59">
        <f>AA113*VLOOKUP(AA$6,Data!$A$4:$G$8,3,FALSE)</f>
        <v>35424.448526049899</v>
      </c>
      <c r="AC113" s="37">
        <f>VLOOKUP(AA$6,Data!$A$3:$G$8,5,FALSE)</f>
        <v>0.08</v>
      </c>
      <c r="AD113" s="58">
        <f t="shared" si="28"/>
        <v>1030.5294116669061</v>
      </c>
      <c r="AE113" s="75">
        <f>AD113*VLOOKUP(AA$6,Data!$A$4:$G$8,2,FALSE)</f>
        <v>10305.294116669062</v>
      </c>
      <c r="AF113" s="82">
        <f t="shared" si="29"/>
        <v>25119.154409380837</v>
      </c>
      <c r="AG113" s="61">
        <f t="shared" si="30"/>
        <v>56722.354467685953</v>
      </c>
      <c r="AH113" s="60">
        <f t="shared" si="32"/>
        <v>35000</v>
      </c>
      <c r="AI113" s="60">
        <f t="shared" si="31"/>
        <v>21722.354467685953</v>
      </c>
      <c r="AJ113" s="62">
        <f t="shared" si="33"/>
        <v>323795.28082188987</v>
      </c>
    </row>
    <row r="114" spans="1:36" x14ac:dyDescent="0.25">
      <c r="A114" s="2">
        <v>107</v>
      </c>
      <c r="B114" s="36">
        <f t="shared" si="19"/>
        <v>9</v>
      </c>
      <c r="C114" s="11">
        <f>C113*(1+VLOOKUP(C$6,Data!$A$3:$G$8,6,0))^(1/12)</f>
        <v>5413.5329382078799</v>
      </c>
      <c r="D114" s="59">
        <f>C114*VLOOKUP(C$6,Data!$A$4:$G$8,3,FALSE)</f>
        <v>2706.7664691039399</v>
      </c>
      <c r="E114" s="37">
        <f>VLOOKUP(C$6,Data!$A$3:$G$8,5,FALSE)</f>
        <v>7.0000000000000007E-2</v>
      </c>
      <c r="F114" s="58">
        <f t="shared" si="20"/>
        <v>378.94730567455161</v>
      </c>
      <c r="G114" s="75">
        <f>F114*VLOOKUP(C$6,Data!$A$4:$G$8,2,FALSE)</f>
        <v>1894.7365283727581</v>
      </c>
      <c r="H114" s="75">
        <f t="shared" si="21"/>
        <v>812.0299407311818</v>
      </c>
      <c r="I114" s="11">
        <f>I113*(1+VLOOKUP(I$6,Data!$A$3:$G$8,6,0))^(1/12)</f>
        <v>9875.8692473941519</v>
      </c>
      <c r="J114" s="59">
        <f>I114*VLOOKUP(I$6,Data!$A$4:$G$8,3,FALSE)</f>
        <v>2962.7607742182454</v>
      </c>
      <c r="K114" s="37">
        <f>VLOOKUP(I$6,Data!$A$3:$G$8,5,FALSE)</f>
        <v>0.06</v>
      </c>
      <c r="L114" s="58">
        <f t="shared" si="22"/>
        <v>592.55215484364908</v>
      </c>
      <c r="M114" s="75">
        <f>L114*VLOOKUP(I$6,Data!$A$4:$G$8,2,FALSE)</f>
        <v>3555.3129290618945</v>
      </c>
      <c r="N114" s="75">
        <f t="shared" si="23"/>
        <v>-592.55215484364908</v>
      </c>
      <c r="O114" s="11">
        <f>O113*(1+VLOOKUP(O$6,Data!$A$3:$G$8,6,0))^(1/12)</f>
        <v>11825.73260208493</v>
      </c>
      <c r="P114" s="59">
        <f>O114*VLOOKUP(O$6,Data!$A$4:$G$8,3,FALSE)</f>
        <v>11825.73260208493</v>
      </c>
      <c r="Q114" s="37">
        <f>VLOOKUP(O$6,Data!$A$3:$G$8,5,FALSE)</f>
        <v>0.05</v>
      </c>
      <c r="R114" s="58">
        <f t="shared" si="24"/>
        <v>591.28663010424657</v>
      </c>
      <c r="S114" s="75">
        <f>R114*VLOOKUP(O$6,Data!$A$4:$G$8,2,FALSE)</f>
        <v>4434.6497257818492</v>
      </c>
      <c r="T114" s="75">
        <f t="shared" si="25"/>
        <v>7391.0828763030813</v>
      </c>
      <c r="U114" s="11">
        <f>U113*(1+VLOOKUP(U$6,Data!$A$3:$G$8,6,0))^(1/12)</f>
        <v>12631.576855818395</v>
      </c>
      <c r="V114" s="59">
        <f>U114*VLOOKUP(U$6,Data!$A$4:$G$8,3,FALSE)</f>
        <v>31578.942139545987</v>
      </c>
      <c r="W114" s="37">
        <f>VLOOKUP(U$6,Data!$A$3:$G$8,5,FALSE)</f>
        <v>7.0000000000000007E-2</v>
      </c>
      <c r="X114" s="58">
        <f t="shared" si="26"/>
        <v>884.2103799072878</v>
      </c>
      <c r="Y114" s="75">
        <f>X114*VLOOKUP(U$6,Data!$A$4:$G$8,2,FALSE)</f>
        <v>7515.7882292119466</v>
      </c>
      <c r="Z114" s="82">
        <f t="shared" si="27"/>
        <v>24063.15391033404</v>
      </c>
      <c r="AA114" s="11">
        <f>AA113*(1+VLOOKUP(AA$6,Data!$A$3:$G$8,6,0))^(1/12)</f>
        <v>12913.387190054626</v>
      </c>
      <c r="AB114" s="59">
        <f>AA114*VLOOKUP(AA$6,Data!$A$4:$G$8,3,FALSE)</f>
        <v>35511.814772650221</v>
      </c>
      <c r="AC114" s="37">
        <f>VLOOKUP(AA$6,Data!$A$3:$G$8,5,FALSE)</f>
        <v>0.08</v>
      </c>
      <c r="AD114" s="58">
        <f t="shared" si="28"/>
        <v>1033.0709752043701</v>
      </c>
      <c r="AE114" s="75">
        <f>AD114*VLOOKUP(AA$6,Data!$A$4:$G$8,2,FALSE)</f>
        <v>10330.709752043702</v>
      </c>
      <c r="AF114" s="82">
        <f t="shared" si="29"/>
        <v>25181.105020606519</v>
      </c>
      <c r="AG114" s="61">
        <f t="shared" si="30"/>
        <v>56854.819593131171</v>
      </c>
      <c r="AH114" s="60">
        <f t="shared" si="32"/>
        <v>35000</v>
      </c>
      <c r="AI114" s="60">
        <f t="shared" si="31"/>
        <v>21854.819593131171</v>
      </c>
      <c r="AJ114" s="62">
        <f t="shared" si="33"/>
        <v>304030.24260722002</v>
      </c>
    </row>
    <row r="115" spans="1:36" x14ac:dyDescent="0.25">
      <c r="A115" s="2">
        <v>108</v>
      </c>
      <c r="B115" s="36">
        <f t="shared" si="19"/>
        <v>9</v>
      </c>
      <c r="C115" s="11">
        <f>C114*(1+VLOOKUP(C$6,Data!$A$3:$G$8,6,0))^(1/12)</f>
        <v>5422.473827985953</v>
      </c>
      <c r="D115" s="59">
        <f>C115*VLOOKUP(C$6,Data!$A$4:$G$8,3,FALSE)</f>
        <v>2711.2369139929765</v>
      </c>
      <c r="E115" s="37">
        <f>VLOOKUP(C$6,Data!$A$3:$G$8,5,FALSE)</f>
        <v>7.0000000000000007E-2</v>
      </c>
      <c r="F115" s="58">
        <f t="shared" si="20"/>
        <v>379.57316795901676</v>
      </c>
      <c r="G115" s="75">
        <f>F115*VLOOKUP(C$6,Data!$A$4:$G$8,2,FALSE)</f>
        <v>1897.8658397950837</v>
      </c>
      <c r="H115" s="75">
        <f t="shared" si="21"/>
        <v>813.37107419789277</v>
      </c>
      <c r="I115" s="11">
        <f>I114*(1+VLOOKUP(I$6,Data!$A$3:$G$8,6,0))^(1/12)</f>
        <v>9884.0616573471652</v>
      </c>
      <c r="J115" s="59">
        <f>I115*VLOOKUP(I$6,Data!$A$4:$G$8,3,FALSE)</f>
        <v>2965.2184972041496</v>
      </c>
      <c r="K115" s="37">
        <f>VLOOKUP(I$6,Data!$A$3:$G$8,5,FALSE)</f>
        <v>0.06</v>
      </c>
      <c r="L115" s="58">
        <f t="shared" si="22"/>
        <v>593.04369944082987</v>
      </c>
      <c r="M115" s="75">
        <f>L115*VLOOKUP(I$6,Data!$A$4:$G$8,2,FALSE)</f>
        <v>3558.2621966449792</v>
      </c>
      <c r="N115" s="75">
        <f t="shared" si="23"/>
        <v>-593.04369944082964</v>
      </c>
      <c r="O115" s="11">
        <f>O114*(1+VLOOKUP(O$6,Data!$A$3:$G$8,6,0))^(1/12)</f>
        <v>11873.912100538151</v>
      </c>
      <c r="P115" s="59">
        <f>O115*VLOOKUP(O$6,Data!$A$4:$G$8,3,FALSE)</f>
        <v>11873.912100538151</v>
      </c>
      <c r="Q115" s="37">
        <f>VLOOKUP(O$6,Data!$A$3:$G$8,5,FALSE)</f>
        <v>0.05</v>
      </c>
      <c r="R115" s="58">
        <f t="shared" si="24"/>
        <v>593.69560502690763</v>
      </c>
      <c r="S115" s="75">
        <f>R115*VLOOKUP(O$6,Data!$A$4:$G$8,2,FALSE)</f>
        <v>4452.7170377018074</v>
      </c>
      <c r="T115" s="75">
        <f t="shared" si="25"/>
        <v>7421.1950628363438</v>
      </c>
      <c r="U115" s="11">
        <f>U114*(1+VLOOKUP(U$6,Data!$A$3:$G$8,6,0))^(1/12)</f>
        <v>12652.438931967234</v>
      </c>
      <c r="V115" s="59">
        <f>U115*VLOOKUP(U$6,Data!$A$4:$G$8,3,FALSE)</f>
        <v>31631.097329918084</v>
      </c>
      <c r="W115" s="37">
        <f>VLOOKUP(U$6,Data!$A$3:$G$8,5,FALSE)</f>
        <v>7.0000000000000007E-2</v>
      </c>
      <c r="X115" s="58">
        <f t="shared" si="26"/>
        <v>885.67072523770639</v>
      </c>
      <c r="Y115" s="75">
        <f>X115*VLOOKUP(U$6,Data!$A$4:$G$8,2,FALSE)</f>
        <v>7528.2011645205039</v>
      </c>
      <c r="Z115" s="82">
        <f t="shared" si="27"/>
        <v>24102.896165397578</v>
      </c>
      <c r="AA115" s="11">
        <f>AA114*(1+VLOOKUP(AA$6,Data!$A$3:$G$8,6,0))^(1/12)</f>
        <v>12945.235086539511</v>
      </c>
      <c r="AB115" s="59">
        <f>AA115*VLOOKUP(AA$6,Data!$A$4:$G$8,3,FALSE)</f>
        <v>35599.396487983657</v>
      </c>
      <c r="AC115" s="37">
        <f>VLOOKUP(AA$6,Data!$A$3:$G$8,5,FALSE)</f>
        <v>0.08</v>
      </c>
      <c r="AD115" s="58">
        <f t="shared" si="28"/>
        <v>1035.6188069231609</v>
      </c>
      <c r="AE115" s="75">
        <f>AD115*VLOOKUP(AA$6,Data!$A$4:$G$8,2,FALSE)</f>
        <v>10356.18806923161</v>
      </c>
      <c r="AF115" s="82">
        <f t="shared" si="29"/>
        <v>25243.208418752045</v>
      </c>
      <c r="AG115" s="61">
        <f t="shared" si="30"/>
        <v>56987.627021743028</v>
      </c>
      <c r="AH115" s="60">
        <f t="shared" si="32"/>
        <v>35000</v>
      </c>
      <c r="AI115" s="60">
        <f t="shared" si="31"/>
        <v>21987.627021743028</v>
      </c>
      <c r="AJ115" s="62">
        <f t="shared" si="33"/>
        <v>284013.26121158525</v>
      </c>
    </row>
    <row r="116" spans="1:36" x14ac:dyDescent="0.25">
      <c r="A116" s="2">
        <v>109</v>
      </c>
      <c r="B116" s="36">
        <f t="shared" si="19"/>
        <v>10</v>
      </c>
      <c r="C116" s="11">
        <f>C115*(1+VLOOKUP(C$6,Data!$A$3:$G$8,6,0))^(1/12)</f>
        <v>5431.4294843704065</v>
      </c>
      <c r="D116" s="59">
        <f>C116*VLOOKUP(C$6,Data!$A$4:$G$8,3,FALSE)</f>
        <v>2715.7147421852032</v>
      </c>
      <c r="E116" s="37">
        <f>VLOOKUP(C$6,Data!$A$3:$G$8,5,FALSE)</f>
        <v>7.0000000000000007E-2</v>
      </c>
      <c r="F116" s="58">
        <f t="shared" si="20"/>
        <v>380.20006390592852</v>
      </c>
      <c r="G116" s="75">
        <f>F116*VLOOKUP(C$6,Data!$A$4:$G$8,2,FALSE)</f>
        <v>1901.0003195296426</v>
      </c>
      <c r="H116" s="75">
        <f t="shared" si="21"/>
        <v>814.71442265556061</v>
      </c>
      <c r="I116" s="11">
        <f>I115*(1+VLOOKUP(I$6,Data!$A$3:$G$8,6,0))^(1/12)</f>
        <v>9892.2608632164829</v>
      </c>
      <c r="J116" s="59">
        <f>I116*VLOOKUP(I$6,Data!$A$4:$G$8,3,FALSE)</f>
        <v>2967.6782589649447</v>
      </c>
      <c r="K116" s="37">
        <f>VLOOKUP(I$6,Data!$A$3:$G$8,5,FALSE)</f>
        <v>0.06</v>
      </c>
      <c r="L116" s="58">
        <f t="shared" si="22"/>
        <v>593.53565179298892</v>
      </c>
      <c r="M116" s="75">
        <f>L116*VLOOKUP(I$6,Data!$A$4:$G$8,2,FALSE)</f>
        <v>3561.2139107579333</v>
      </c>
      <c r="N116" s="75">
        <f t="shared" si="23"/>
        <v>-593.53565179298857</v>
      </c>
      <c r="O116" s="11">
        <f>O115*(1+VLOOKUP(O$6,Data!$A$3:$G$8,6,0))^(1/12)</f>
        <v>11922.287888231904</v>
      </c>
      <c r="P116" s="59">
        <f>O116*VLOOKUP(O$6,Data!$A$4:$G$8,3,FALSE)</f>
        <v>11922.287888231904</v>
      </c>
      <c r="Q116" s="37">
        <f>VLOOKUP(O$6,Data!$A$3:$G$8,5,FALSE)</f>
        <v>0.05</v>
      </c>
      <c r="R116" s="58">
        <f t="shared" si="24"/>
        <v>596.11439441159519</v>
      </c>
      <c r="S116" s="75">
        <f>R116*VLOOKUP(O$6,Data!$A$4:$G$8,2,FALSE)</f>
        <v>4470.8579580869637</v>
      </c>
      <c r="T116" s="75">
        <f t="shared" si="25"/>
        <v>7451.42993014494</v>
      </c>
      <c r="U116" s="11">
        <f>U115*(1+VLOOKUP(U$6,Data!$A$3:$G$8,6,0))^(1/12)</f>
        <v>12673.335463530959</v>
      </c>
      <c r="V116" s="59">
        <f>U116*VLOOKUP(U$6,Data!$A$4:$G$8,3,FALSE)</f>
        <v>31683.338658827397</v>
      </c>
      <c r="W116" s="37">
        <f>VLOOKUP(U$6,Data!$A$3:$G$8,5,FALSE)</f>
        <v>7.0000000000000007E-2</v>
      </c>
      <c r="X116" s="58">
        <f t="shared" si="26"/>
        <v>887.13348244716724</v>
      </c>
      <c r="Y116" s="75">
        <f>X116*VLOOKUP(U$6,Data!$A$4:$G$8,2,FALSE)</f>
        <v>7540.6346008009214</v>
      </c>
      <c r="Z116" s="82">
        <f t="shared" si="27"/>
        <v>24142.704058026477</v>
      </c>
      <c r="AA116" s="11">
        <f>AA115*(1+VLOOKUP(AA$6,Data!$A$3:$G$8,6,0))^(1/12)</f>
        <v>12977.161528528808</v>
      </c>
      <c r="AB116" s="59">
        <f>AA116*VLOOKUP(AA$6,Data!$A$4:$G$8,3,FALSE)</f>
        <v>35687.194203454223</v>
      </c>
      <c r="AC116" s="37">
        <f>VLOOKUP(AA$6,Data!$A$3:$G$8,5,FALSE)</f>
        <v>0.08</v>
      </c>
      <c r="AD116" s="58">
        <f t="shared" si="28"/>
        <v>1038.1729222823046</v>
      </c>
      <c r="AE116" s="75">
        <f>AD116*VLOOKUP(AA$6,Data!$A$4:$G$8,2,FALSE)</f>
        <v>10381.729222823047</v>
      </c>
      <c r="AF116" s="82">
        <f t="shared" si="29"/>
        <v>25305.464980631175</v>
      </c>
      <c r="AG116" s="61">
        <f t="shared" si="30"/>
        <v>57120.777739665165</v>
      </c>
      <c r="AH116" s="60">
        <f t="shared" si="32"/>
        <v>35000</v>
      </c>
      <c r="AI116" s="60">
        <f t="shared" si="31"/>
        <v>22120.777739665165</v>
      </c>
      <c r="AJ116" s="62">
        <f t="shared" si="33"/>
        <v>263742.47135569126</v>
      </c>
    </row>
    <row r="117" spans="1:36" x14ac:dyDescent="0.25">
      <c r="A117" s="2">
        <v>110</v>
      </c>
      <c r="B117" s="36">
        <f t="shared" si="19"/>
        <v>10</v>
      </c>
      <c r="C117" s="11">
        <f>C116*(1+VLOOKUP(C$6,Data!$A$3:$G$8,6,0))^(1/12)</f>
        <v>5440.3999317494909</v>
      </c>
      <c r="D117" s="59">
        <f>C117*VLOOKUP(C$6,Data!$A$4:$G$8,3,FALSE)</f>
        <v>2720.1999658747454</v>
      </c>
      <c r="E117" s="37">
        <f>VLOOKUP(C$6,Data!$A$3:$G$8,5,FALSE)</f>
        <v>7.0000000000000007E-2</v>
      </c>
      <c r="F117" s="58">
        <f t="shared" si="20"/>
        <v>380.82799522246438</v>
      </c>
      <c r="G117" s="75">
        <f>F117*VLOOKUP(C$6,Data!$A$4:$G$8,2,FALSE)</f>
        <v>1904.1399761123218</v>
      </c>
      <c r="H117" s="75">
        <f t="shared" si="21"/>
        <v>816.05998976242358</v>
      </c>
      <c r="I117" s="11">
        <f>I116*(1+VLOOKUP(I$6,Data!$A$3:$G$8,6,0))^(1/12)</f>
        <v>9900.4668706395751</v>
      </c>
      <c r="J117" s="59">
        <f>I117*VLOOKUP(I$6,Data!$A$4:$G$8,3,FALSE)</f>
        <v>2970.1400611918725</v>
      </c>
      <c r="K117" s="37">
        <f>VLOOKUP(I$6,Data!$A$3:$G$8,5,FALSE)</f>
        <v>0.06</v>
      </c>
      <c r="L117" s="58">
        <f t="shared" si="22"/>
        <v>594.02801223837446</v>
      </c>
      <c r="M117" s="75">
        <f>L117*VLOOKUP(I$6,Data!$A$4:$G$8,2,FALSE)</f>
        <v>3564.1680734302467</v>
      </c>
      <c r="N117" s="75">
        <f t="shared" si="23"/>
        <v>-594.02801223837423</v>
      </c>
      <c r="O117" s="11">
        <f>O116*(1+VLOOKUP(O$6,Data!$A$3:$G$8,6,0))^(1/12)</f>
        <v>11970.860764872852</v>
      </c>
      <c r="P117" s="59">
        <f>O117*VLOOKUP(O$6,Data!$A$4:$G$8,3,FALSE)</f>
        <v>11970.860764872852</v>
      </c>
      <c r="Q117" s="37">
        <f>VLOOKUP(O$6,Data!$A$3:$G$8,5,FALSE)</f>
        <v>0.05</v>
      </c>
      <c r="R117" s="58">
        <f t="shared" si="24"/>
        <v>598.54303824364263</v>
      </c>
      <c r="S117" s="75">
        <f>R117*VLOOKUP(O$6,Data!$A$4:$G$8,2,FALSE)</f>
        <v>4489.0727868273198</v>
      </c>
      <c r="T117" s="75">
        <f t="shared" si="25"/>
        <v>7481.7879780455323</v>
      </c>
      <c r="U117" s="11">
        <f>U116*(1+VLOOKUP(U$6,Data!$A$3:$G$8,6,0))^(1/12)</f>
        <v>12694.266507415488</v>
      </c>
      <c r="V117" s="59">
        <f>U117*VLOOKUP(U$6,Data!$A$4:$G$8,3,FALSE)</f>
        <v>31735.66626853872</v>
      </c>
      <c r="W117" s="37">
        <f>VLOOKUP(U$6,Data!$A$3:$G$8,5,FALSE)</f>
        <v>7.0000000000000007E-2</v>
      </c>
      <c r="X117" s="58">
        <f t="shared" si="26"/>
        <v>888.59865551908422</v>
      </c>
      <c r="Y117" s="75">
        <f>X117*VLOOKUP(U$6,Data!$A$4:$G$8,2,FALSE)</f>
        <v>7553.0885719122161</v>
      </c>
      <c r="Z117" s="82">
        <f t="shared" si="27"/>
        <v>24182.577696626504</v>
      </c>
      <c r="AA117" s="11">
        <f>AA116*(1+VLOOKUP(AA$6,Data!$A$3:$G$8,6,0))^(1/12)</f>
        <v>13009.166709736921</v>
      </c>
      <c r="AB117" s="59">
        <f>AA117*VLOOKUP(AA$6,Data!$A$4:$G$8,3,FALSE)</f>
        <v>35775.208451776532</v>
      </c>
      <c r="AC117" s="37">
        <f>VLOOKUP(AA$6,Data!$A$3:$G$8,5,FALSE)</f>
        <v>0.08</v>
      </c>
      <c r="AD117" s="58">
        <f t="shared" si="28"/>
        <v>1040.7333367789538</v>
      </c>
      <c r="AE117" s="75">
        <f>AD117*VLOOKUP(AA$6,Data!$A$4:$G$8,2,FALSE)</f>
        <v>10407.333367789539</v>
      </c>
      <c r="AF117" s="82">
        <f t="shared" si="29"/>
        <v>25367.875083986994</v>
      </c>
      <c r="AG117" s="61">
        <f t="shared" si="30"/>
        <v>57254.272736183077</v>
      </c>
      <c r="AH117" s="60">
        <f t="shared" si="32"/>
        <v>35000</v>
      </c>
      <c r="AI117" s="60">
        <f t="shared" si="31"/>
        <v>22254.272736183077</v>
      </c>
      <c r="AJ117" s="62">
        <f t="shared" si="33"/>
        <v>243215.99549863779</v>
      </c>
    </row>
    <row r="118" spans="1:36" x14ac:dyDescent="0.25">
      <c r="A118" s="2">
        <v>111</v>
      </c>
      <c r="B118" s="36">
        <f t="shared" si="19"/>
        <v>10</v>
      </c>
      <c r="C118" s="11">
        <f>C117*(1+VLOOKUP(C$6,Data!$A$3:$G$8,6,0))^(1/12)</f>
        <v>5449.3851945517363</v>
      </c>
      <c r="D118" s="59">
        <f>C118*VLOOKUP(C$6,Data!$A$4:$G$8,3,FALSE)</f>
        <v>2724.6925972758681</v>
      </c>
      <c r="E118" s="37">
        <f>VLOOKUP(C$6,Data!$A$3:$G$8,5,FALSE)</f>
        <v>7.0000000000000007E-2</v>
      </c>
      <c r="F118" s="58">
        <f t="shared" si="20"/>
        <v>381.45696361862156</v>
      </c>
      <c r="G118" s="75">
        <f>F118*VLOOKUP(C$6,Data!$A$4:$G$8,2,FALSE)</f>
        <v>1907.2848180931078</v>
      </c>
      <c r="H118" s="75">
        <f t="shared" si="21"/>
        <v>817.40777918276035</v>
      </c>
      <c r="I118" s="11">
        <f>I117*(1+VLOOKUP(I$6,Data!$A$3:$G$8,6,0))^(1/12)</f>
        <v>9908.6796852585921</v>
      </c>
      <c r="J118" s="59">
        <f>I118*VLOOKUP(I$6,Data!$A$4:$G$8,3,FALSE)</f>
        <v>2972.6039055775777</v>
      </c>
      <c r="K118" s="37">
        <f>VLOOKUP(I$6,Data!$A$3:$G$8,5,FALSE)</f>
        <v>0.06</v>
      </c>
      <c r="L118" s="58">
        <f t="shared" si="22"/>
        <v>594.52078111551555</v>
      </c>
      <c r="M118" s="75">
        <f>L118*VLOOKUP(I$6,Data!$A$4:$G$8,2,FALSE)</f>
        <v>3567.1246866930933</v>
      </c>
      <c r="N118" s="75">
        <f t="shared" si="23"/>
        <v>-594.52078111551555</v>
      </c>
      <c r="O118" s="11">
        <f>O117*(1+VLOOKUP(O$6,Data!$A$3:$G$8,6,0))^(1/12)</f>
        <v>12019.631533425763</v>
      </c>
      <c r="P118" s="59">
        <f>O118*VLOOKUP(O$6,Data!$A$4:$G$8,3,FALSE)</f>
        <v>12019.631533425763</v>
      </c>
      <c r="Q118" s="37">
        <f>VLOOKUP(O$6,Data!$A$3:$G$8,5,FALSE)</f>
        <v>0.05</v>
      </c>
      <c r="R118" s="58">
        <f t="shared" si="24"/>
        <v>600.98157667128817</v>
      </c>
      <c r="S118" s="75">
        <f>R118*VLOOKUP(O$6,Data!$A$4:$G$8,2,FALSE)</f>
        <v>4507.3618250346608</v>
      </c>
      <c r="T118" s="75">
        <f t="shared" si="25"/>
        <v>7512.2697083911025</v>
      </c>
      <c r="U118" s="11">
        <f>U117*(1+VLOOKUP(U$6,Data!$A$3:$G$8,6,0))^(1/12)</f>
        <v>12715.232120620727</v>
      </c>
      <c r="V118" s="59">
        <f>U118*VLOOKUP(U$6,Data!$A$4:$G$8,3,FALSE)</f>
        <v>31788.080301551818</v>
      </c>
      <c r="W118" s="37">
        <f>VLOOKUP(U$6,Data!$A$3:$G$8,5,FALSE)</f>
        <v>7.0000000000000007E-2</v>
      </c>
      <c r="X118" s="58">
        <f t="shared" si="26"/>
        <v>890.06624844345095</v>
      </c>
      <c r="Y118" s="75">
        <f>X118*VLOOKUP(U$6,Data!$A$4:$G$8,2,FALSE)</f>
        <v>7565.5631117693329</v>
      </c>
      <c r="Z118" s="82">
        <f t="shared" si="27"/>
        <v>24222.517189782484</v>
      </c>
      <c r="AA118" s="11">
        <f>AA117*(1+VLOOKUP(AA$6,Data!$A$3:$G$8,6,0))^(1/12)</f>
        <v>13041.250824356004</v>
      </c>
      <c r="AB118" s="59">
        <f>AA118*VLOOKUP(AA$6,Data!$A$4:$G$8,3,FALSE)</f>
        <v>35863.439766979012</v>
      </c>
      <c r="AC118" s="37">
        <f>VLOOKUP(AA$6,Data!$A$3:$G$8,5,FALSE)</f>
        <v>0.08</v>
      </c>
      <c r="AD118" s="58">
        <f t="shared" si="28"/>
        <v>1043.3000659484803</v>
      </c>
      <c r="AE118" s="75">
        <f>AD118*VLOOKUP(AA$6,Data!$A$4:$G$8,2,FALSE)</f>
        <v>10433.000659484804</v>
      </c>
      <c r="AF118" s="82">
        <f t="shared" si="29"/>
        <v>25430.43910749421</v>
      </c>
      <c r="AG118" s="61">
        <f t="shared" si="30"/>
        <v>57388.113003735038</v>
      </c>
      <c r="AH118" s="60">
        <f t="shared" si="32"/>
        <v>35000</v>
      </c>
      <c r="AI118" s="60">
        <f t="shared" si="31"/>
        <v>22388.113003735038</v>
      </c>
      <c r="AJ118" s="62">
        <f t="shared" si="33"/>
        <v>222431.94376065646</v>
      </c>
    </row>
    <row r="119" spans="1:36" x14ac:dyDescent="0.25">
      <c r="A119" s="2">
        <v>112</v>
      </c>
      <c r="B119" s="36">
        <f t="shared" si="19"/>
        <v>10</v>
      </c>
      <c r="C119" s="11">
        <f>C118*(1+VLOOKUP(C$6,Data!$A$3:$G$8,6,0))^(1/12)</f>
        <v>5458.385297246019</v>
      </c>
      <c r="D119" s="59">
        <f>C119*VLOOKUP(C$6,Data!$A$4:$G$8,3,FALSE)</f>
        <v>2729.1926486230095</v>
      </c>
      <c r="E119" s="37">
        <f>VLOOKUP(C$6,Data!$A$3:$G$8,5,FALSE)</f>
        <v>7.0000000000000007E-2</v>
      </c>
      <c r="F119" s="58">
        <f t="shared" si="20"/>
        <v>382.08697080722135</v>
      </c>
      <c r="G119" s="75">
        <f>F119*VLOOKUP(C$6,Data!$A$4:$G$8,2,FALSE)</f>
        <v>1910.4348540361068</v>
      </c>
      <c r="H119" s="75">
        <f t="shared" si="21"/>
        <v>818.75779458690272</v>
      </c>
      <c r="I119" s="11">
        <f>I118*(1+VLOOKUP(I$6,Data!$A$3:$G$8,6,0))^(1/12)</f>
        <v>9916.8993127203612</v>
      </c>
      <c r="J119" s="59">
        <f>I119*VLOOKUP(I$6,Data!$A$4:$G$8,3,FALSE)</f>
        <v>2975.0697938161084</v>
      </c>
      <c r="K119" s="37">
        <f>VLOOKUP(I$6,Data!$A$3:$G$8,5,FALSE)</f>
        <v>0.06</v>
      </c>
      <c r="L119" s="58">
        <f t="shared" si="22"/>
        <v>595.01395876322169</v>
      </c>
      <c r="M119" s="75">
        <f>L119*VLOOKUP(I$6,Data!$A$4:$G$8,2,FALSE)</f>
        <v>3570.0837525793304</v>
      </c>
      <c r="N119" s="75">
        <f t="shared" si="23"/>
        <v>-595.01395876322204</v>
      </c>
      <c r="O119" s="11">
        <f>O118*(1+VLOOKUP(O$6,Data!$A$3:$G$8,6,0))^(1/12)</f>
        <v>12068.601000126782</v>
      </c>
      <c r="P119" s="59">
        <f>O119*VLOOKUP(O$6,Data!$A$4:$G$8,3,FALSE)</f>
        <v>12068.601000126782</v>
      </c>
      <c r="Q119" s="37">
        <f>VLOOKUP(O$6,Data!$A$3:$G$8,5,FALSE)</f>
        <v>0.05</v>
      </c>
      <c r="R119" s="58">
        <f t="shared" si="24"/>
        <v>603.43005000633912</v>
      </c>
      <c r="S119" s="75">
        <f>R119*VLOOKUP(O$6,Data!$A$4:$G$8,2,FALSE)</f>
        <v>4525.7253750475429</v>
      </c>
      <c r="T119" s="75">
        <f t="shared" si="25"/>
        <v>7542.8756250792394</v>
      </c>
      <c r="U119" s="11">
        <f>U118*(1+VLOOKUP(U$6,Data!$A$3:$G$8,6,0))^(1/12)</f>
        <v>12736.23236024072</v>
      </c>
      <c r="V119" s="59">
        <f>U119*VLOOKUP(U$6,Data!$A$4:$G$8,3,FALSE)</f>
        <v>31840.580900601799</v>
      </c>
      <c r="W119" s="37">
        <f>VLOOKUP(U$6,Data!$A$3:$G$8,5,FALSE)</f>
        <v>7.0000000000000007E-2</v>
      </c>
      <c r="X119" s="58">
        <f t="shared" si="26"/>
        <v>891.53626521685044</v>
      </c>
      <c r="Y119" s="75">
        <f>X119*VLOOKUP(U$6,Data!$A$4:$G$8,2,FALSE)</f>
        <v>7578.0582543432283</v>
      </c>
      <c r="Z119" s="82">
        <f t="shared" si="27"/>
        <v>24262.522646258571</v>
      </c>
      <c r="AA119" s="11">
        <f>AA118*(1+VLOOKUP(AA$6,Data!$A$3:$G$8,6,0))^(1/12)</f>
        <v>13073.414067057143</v>
      </c>
      <c r="AB119" s="59">
        <f>AA119*VLOOKUP(AA$6,Data!$A$4:$G$8,3,FALSE)</f>
        <v>35951.888684407146</v>
      </c>
      <c r="AC119" s="37">
        <f>VLOOKUP(AA$6,Data!$A$3:$G$8,5,FALSE)</f>
        <v>0.08</v>
      </c>
      <c r="AD119" s="58">
        <f t="shared" si="28"/>
        <v>1045.8731253645715</v>
      </c>
      <c r="AE119" s="75">
        <f>AD119*VLOOKUP(AA$6,Data!$A$4:$G$8,2,FALSE)</f>
        <v>10458.731253645714</v>
      </c>
      <c r="AF119" s="82">
        <f t="shared" si="29"/>
        <v>25493.157430761432</v>
      </c>
      <c r="AG119" s="61">
        <f t="shared" si="30"/>
        <v>57522.299537922925</v>
      </c>
      <c r="AH119" s="60">
        <f t="shared" si="32"/>
        <v>35000</v>
      </c>
      <c r="AI119" s="60">
        <f t="shared" si="31"/>
        <v>22522.299537922925</v>
      </c>
      <c r="AJ119" s="62">
        <f t="shared" si="33"/>
        <v>201388.41384537038</v>
      </c>
    </row>
    <row r="120" spans="1:36" x14ac:dyDescent="0.25">
      <c r="A120" s="2">
        <v>113</v>
      </c>
      <c r="B120" s="36">
        <f t="shared" si="19"/>
        <v>10</v>
      </c>
      <c r="C120" s="11">
        <f>C119*(1+VLOOKUP(C$6,Data!$A$3:$G$8,6,0))^(1/12)</f>
        <v>5467.400264341627</v>
      </c>
      <c r="D120" s="59">
        <f>C120*VLOOKUP(C$6,Data!$A$4:$G$8,3,FALSE)</f>
        <v>2733.7001321708135</v>
      </c>
      <c r="E120" s="37">
        <f>VLOOKUP(C$6,Data!$A$3:$G$8,5,FALSE)</f>
        <v>7.0000000000000007E-2</v>
      </c>
      <c r="F120" s="58">
        <f t="shared" si="20"/>
        <v>382.71801850391392</v>
      </c>
      <c r="G120" s="75">
        <f>F120*VLOOKUP(C$6,Data!$A$4:$G$8,2,FALSE)</f>
        <v>1913.5900925195697</v>
      </c>
      <c r="H120" s="75">
        <f t="shared" si="21"/>
        <v>820.11003965124382</v>
      </c>
      <c r="I120" s="11">
        <f>I119*(1+VLOOKUP(I$6,Data!$A$3:$G$8,6,0))^(1/12)</f>
        <v>9925.1257586763968</v>
      </c>
      <c r="J120" s="59">
        <f>I120*VLOOKUP(I$6,Data!$A$4:$G$8,3,FALSE)</f>
        <v>2977.5377276029189</v>
      </c>
      <c r="K120" s="37">
        <f>VLOOKUP(I$6,Data!$A$3:$G$8,5,FALSE)</f>
        <v>0.06</v>
      </c>
      <c r="L120" s="58">
        <f t="shared" si="22"/>
        <v>595.50754552058379</v>
      </c>
      <c r="M120" s="75">
        <f>L120*VLOOKUP(I$6,Data!$A$4:$G$8,2,FALSE)</f>
        <v>3573.0452731235027</v>
      </c>
      <c r="N120" s="75">
        <f t="shared" si="23"/>
        <v>-595.50754552058379</v>
      </c>
      <c r="O120" s="11">
        <f>O119*(1+VLOOKUP(O$6,Data!$A$3:$G$8,6,0))^(1/12)</f>
        <v>12117.769974496761</v>
      </c>
      <c r="P120" s="59">
        <f>O120*VLOOKUP(O$6,Data!$A$4:$G$8,3,FALSE)</f>
        <v>12117.769974496761</v>
      </c>
      <c r="Q120" s="37">
        <f>VLOOKUP(O$6,Data!$A$3:$G$8,5,FALSE)</f>
        <v>0.05</v>
      </c>
      <c r="R120" s="58">
        <f t="shared" si="24"/>
        <v>605.88849872483809</v>
      </c>
      <c r="S120" s="75">
        <f>R120*VLOOKUP(O$6,Data!$A$4:$G$8,2,FALSE)</f>
        <v>4544.1637404362855</v>
      </c>
      <c r="T120" s="75">
        <f t="shared" si="25"/>
        <v>7573.6062340604758</v>
      </c>
      <c r="U120" s="11">
        <f>U119*(1+VLOOKUP(U$6,Data!$A$3:$G$8,6,0))^(1/12)</f>
        <v>12757.267283463805</v>
      </c>
      <c r="V120" s="59">
        <f>U120*VLOOKUP(U$6,Data!$A$4:$G$8,3,FALSE)</f>
        <v>31893.168208659514</v>
      </c>
      <c r="W120" s="37">
        <f>VLOOKUP(U$6,Data!$A$3:$G$8,5,FALSE)</f>
        <v>7.0000000000000007E-2</v>
      </c>
      <c r="X120" s="58">
        <f t="shared" si="26"/>
        <v>893.00870984246649</v>
      </c>
      <c r="Y120" s="75">
        <f>X120*VLOOKUP(U$6,Data!$A$4:$G$8,2,FALSE)</f>
        <v>7590.5740336609651</v>
      </c>
      <c r="Z120" s="82">
        <f t="shared" si="27"/>
        <v>24302.59417499855</v>
      </c>
      <c r="AA120" s="11">
        <f>AA119*(1+VLOOKUP(AA$6,Data!$A$3:$G$8,6,0))^(1/12)</f>
        <v>13105.656632991537</v>
      </c>
      <c r="AB120" s="59">
        <f>AA120*VLOOKUP(AA$6,Data!$A$4:$G$8,3,FALSE)</f>
        <v>36040.555740726726</v>
      </c>
      <c r="AC120" s="37">
        <f>VLOOKUP(AA$6,Data!$A$3:$G$8,5,FALSE)</f>
        <v>0.08</v>
      </c>
      <c r="AD120" s="58">
        <f t="shared" si="28"/>
        <v>1048.452530639323</v>
      </c>
      <c r="AE120" s="75">
        <f>AD120*VLOOKUP(AA$6,Data!$A$4:$G$8,2,FALSE)</f>
        <v>10484.525306393229</v>
      </c>
      <c r="AF120" s="82">
        <f t="shared" si="29"/>
        <v>25556.030434333497</v>
      </c>
      <c r="AG120" s="61">
        <f t="shared" si="30"/>
        <v>57656.833337523189</v>
      </c>
      <c r="AH120" s="60">
        <f t="shared" si="32"/>
        <v>35000</v>
      </c>
      <c r="AI120" s="60">
        <f t="shared" si="31"/>
        <v>22656.833337523189</v>
      </c>
      <c r="AJ120" s="62">
        <f t="shared" si="33"/>
        <v>180083.49096157326</v>
      </c>
    </row>
    <row r="121" spans="1:36" x14ac:dyDescent="0.25">
      <c r="A121" s="2">
        <v>114</v>
      </c>
      <c r="B121" s="36">
        <f t="shared" si="19"/>
        <v>10</v>
      </c>
      <c r="C121" s="11">
        <f>C120*(1+VLOOKUP(C$6,Data!$A$3:$G$8,6,0))^(1/12)</f>
        <v>5476.4301203883269</v>
      </c>
      <c r="D121" s="59">
        <f>C121*VLOOKUP(C$6,Data!$A$4:$G$8,3,FALSE)</f>
        <v>2738.2150601941635</v>
      </c>
      <c r="E121" s="37">
        <f>VLOOKUP(C$6,Data!$A$3:$G$8,5,FALSE)</f>
        <v>7.0000000000000007E-2</v>
      </c>
      <c r="F121" s="58">
        <f t="shared" si="20"/>
        <v>383.35010842718293</v>
      </c>
      <c r="G121" s="75">
        <f>F121*VLOOKUP(C$6,Data!$A$4:$G$8,2,FALSE)</f>
        <v>1916.7505421359147</v>
      </c>
      <c r="H121" s="75">
        <f t="shared" si="21"/>
        <v>821.46451805824881</v>
      </c>
      <c r="I121" s="11">
        <f>I120*(1+VLOOKUP(I$6,Data!$A$3:$G$8,6,0))^(1/12)</f>
        <v>9933.3590287828974</v>
      </c>
      <c r="J121" s="59">
        <f>I121*VLOOKUP(I$6,Data!$A$4:$G$8,3,FALSE)</f>
        <v>2980.0077086348692</v>
      </c>
      <c r="K121" s="37">
        <f>VLOOKUP(I$6,Data!$A$3:$G$8,5,FALSE)</f>
        <v>0.06</v>
      </c>
      <c r="L121" s="58">
        <f t="shared" si="22"/>
        <v>596.00154172697387</v>
      </c>
      <c r="M121" s="75">
        <f>L121*VLOOKUP(I$6,Data!$A$4:$G$8,2,FALSE)</f>
        <v>3576.0092503618434</v>
      </c>
      <c r="N121" s="75">
        <f t="shared" si="23"/>
        <v>-596.00154172697421</v>
      </c>
      <c r="O121" s="11">
        <f>O120*(1+VLOOKUP(O$6,Data!$A$3:$G$8,6,0))^(1/12)</f>
        <v>12167.139269354639</v>
      </c>
      <c r="P121" s="59">
        <f>O121*VLOOKUP(O$6,Data!$A$4:$G$8,3,FALSE)</f>
        <v>12167.139269354639</v>
      </c>
      <c r="Q121" s="37">
        <f>VLOOKUP(O$6,Data!$A$3:$G$8,5,FALSE)</f>
        <v>0.05</v>
      </c>
      <c r="R121" s="58">
        <f t="shared" si="24"/>
        <v>608.35696346773193</v>
      </c>
      <c r="S121" s="75">
        <f>R121*VLOOKUP(O$6,Data!$A$4:$G$8,2,FALSE)</f>
        <v>4562.6772260079897</v>
      </c>
      <c r="T121" s="75">
        <f t="shared" si="25"/>
        <v>7604.4620433466489</v>
      </c>
      <c r="U121" s="11">
        <f>U120*(1+VLOOKUP(U$6,Data!$A$3:$G$8,6,0))^(1/12)</f>
        <v>12778.336947572772</v>
      </c>
      <c r="V121" s="59">
        <f>U121*VLOOKUP(U$6,Data!$A$4:$G$8,3,FALSE)</f>
        <v>31945.842368931932</v>
      </c>
      <c r="W121" s="37">
        <f>VLOOKUP(U$6,Data!$A$3:$G$8,5,FALSE)</f>
        <v>7.0000000000000007E-2</v>
      </c>
      <c r="X121" s="58">
        <f t="shared" si="26"/>
        <v>894.48358633009411</v>
      </c>
      <c r="Y121" s="75">
        <f>X121*VLOOKUP(U$6,Data!$A$4:$G$8,2,FALSE)</f>
        <v>7603.1104838058</v>
      </c>
      <c r="Z121" s="82">
        <f t="shared" si="27"/>
        <v>24342.73188512613</v>
      </c>
      <c r="AA121" s="11">
        <f>AA120*(1+VLOOKUP(AA$6,Data!$A$3:$G$8,6,0))^(1/12)</f>
        <v>13137.978717791675</v>
      </c>
      <c r="AB121" s="59">
        <f>AA121*VLOOKUP(AA$6,Data!$A$4:$G$8,3,FALSE)</f>
        <v>36129.441473927109</v>
      </c>
      <c r="AC121" s="37">
        <f>VLOOKUP(AA$6,Data!$A$3:$G$8,5,FALSE)</f>
        <v>0.08</v>
      </c>
      <c r="AD121" s="58">
        <f t="shared" si="28"/>
        <v>1051.0382974233339</v>
      </c>
      <c r="AE121" s="75">
        <f>AD121*VLOOKUP(AA$6,Data!$A$4:$G$8,2,FALSE)</f>
        <v>10510.38297423334</v>
      </c>
      <c r="AF121" s="82">
        <f t="shared" si="29"/>
        <v>25619.058499693769</v>
      </c>
      <c r="AG121" s="61">
        <f t="shared" si="30"/>
        <v>57791.715404497823</v>
      </c>
      <c r="AH121" s="60">
        <f t="shared" si="32"/>
        <v>35000</v>
      </c>
      <c r="AI121" s="60">
        <f t="shared" si="31"/>
        <v>22791.715404497823</v>
      </c>
      <c r="AJ121" s="62">
        <f t="shared" si="33"/>
        <v>158515.24774452456</v>
      </c>
    </row>
    <row r="122" spans="1:36" x14ac:dyDescent="0.25">
      <c r="A122" s="2">
        <v>115</v>
      </c>
      <c r="B122" s="36">
        <f t="shared" si="19"/>
        <v>10</v>
      </c>
      <c r="C122" s="11">
        <f>C121*(1+VLOOKUP(C$6,Data!$A$3:$G$8,6,0))^(1/12)</f>
        <v>5485.4748899764327</v>
      </c>
      <c r="D122" s="59">
        <f>C122*VLOOKUP(C$6,Data!$A$4:$G$8,3,FALSE)</f>
        <v>2742.7374449882163</v>
      </c>
      <c r="E122" s="37">
        <f>VLOOKUP(C$6,Data!$A$3:$G$8,5,FALSE)</f>
        <v>7.0000000000000007E-2</v>
      </c>
      <c r="F122" s="58">
        <f t="shared" si="20"/>
        <v>383.98324229835032</v>
      </c>
      <c r="G122" s="75">
        <f>F122*VLOOKUP(C$6,Data!$A$4:$G$8,2,FALSE)</f>
        <v>1919.9162114917517</v>
      </c>
      <c r="H122" s="75">
        <f t="shared" si="21"/>
        <v>822.82123349646463</v>
      </c>
      <c r="I122" s="11">
        <f>I121*(1+VLOOKUP(I$6,Data!$A$3:$G$8,6,0))^(1/12)</f>
        <v>9941.5991287007582</v>
      </c>
      <c r="J122" s="59">
        <f>I122*VLOOKUP(I$6,Data!$A$4:$G$8,3,FALSE)</f>
        <v>2982.4797386102273</v>
      </c>
      <c r="K122" s="37">
        <f>VLOOKUP(I$6,Data!$A$3:$G$8,5,FALSE)</f>
        <v>0.06</v>
      </c>
      <c r="L122" s="58">
        <f t="shared" si="22"/>
        <v>596.49594772204546</v>
      </c>
      <c r="M122" s="75">
        <f>L122*VLOOKUP(I$6,Data!$A$4:$G$8,2,FALSE)</f>
        <v>3578.9756863322727</v>
      </c>
      <c r="N122" s="75">
        <f t="shared" si="23"/>
        <v>-596.49594772204546</v>
      </c>
      <c r="O122" s="11">
        <f>O121*(1+VLOOKUP(O$6,Data!$A$3:$G$8,6,0))^(1/12)</f>
        <v>12216.709700830877</v>
      </c>
      <c r="P122" s="59">
        <f>O122*VLOOKUP(O$6,Data!$A$4:$G$8,3,FALSE)</f>
        <v>12216.709700830877</v>
      </c>
      <c r="Q122" s="37">
        <f>VLOOKUP(O$6,Data!$A$3:$G$8,5,FALSE)</f>
        <v>0.05</v>
      </c>
      <c r="R122" s="58">
        <f t="shared" si="24"/>
        <v>610.83548504154385</v>
      </c>
      <c r="S122" s="75">
        <f>R122*VLOOKUP(O$6,Data!$A$4:$G$8,2,FALSE)</f>
        <v>4581.266137811579</v>
      </c>
      <c r="T122" s="75">
        <f t="shared" si="25"/>
        <v>7635.4435630192984</v>
      </c>
      <c r="U122" s="11">
        <f>U121*(1+VLOOKUP(U$6,Data!$A$3:$G$8,6,0))^(1/12)</f>
        <v>12799.44140994502</v>
      </c>
      <c r="V122" s="59">
        <f>U122*VLOOKUP(U$6,Data!$A$4:$G$8,3,FALSE)</f>
        <v>31998.603524862552</v>
      </c>
      <c r="W122" s="37">
        <f>VLOOKUP(U$6,Data!$A$3:$G$8,5,FALSE)</f>
        <v>7.0000000000000007E-2</v>
      </c>
      <c r="X122" s="58">
        <f t="shared" si="26"/>
        <v>895.9608986961515</v>
      </c>
      <c r="Y122" s="75">
        <f>X122*VLOOKUP(U$6,Data!$A$4:$G$8,2,FALSE)</f>
        <v>7615.6676389172881</v>
      </c>
      <c r="Z122" s="82">
        <f t="shared" si="27"/>
        <v>24382.935885945262</v>
      </c>
      <c r="AA122" s="11">
        <f>AA121*(1+VLOOKUP(AA$6,Data!$A$3:$G$8,6,0))^(1/12)</f>
        <v>13170.380517572534</v>
      </c>
      <c r="AB122" s="59">
        <f>AA122*VLOOKUP(AA$6,Data!$A$4:$G$8,3,FALSE)</f>
        <v>36218.546423324471</v>
      </c>
      <c r="AC122" s="37">
        <f>VLOOKUP(AA$6,Data!$A$3:$G$8,5,FALSE)</f>
        <v>0.08</v>
      </c>
      <c r="AD122" s="58">
        <f t="shared" si="28"/>
        <v>1053.6304414058027</v>
      </c>
      <c r="AE122" s="75">
        <f>AD122*VLOOKUP(AA$6,Data!$A$4:$G$8,2,FALSE)</f>
        <v>10536.304414058028</v>
      </c>
      <c r="AF122" s="82">
        <f t="shared" si="29"/>
        <v>25682.242009266443</v>
      </c>
      <c r="AG122" s="61">
        <f t="shared" si="30"/>
        <v>57926.946744005429</v>
      </c>
      <c r="AH122" s="60">
        <f t="shared" si="32"/>
        <v>35000</v>
      </c>
      <c r="AI122" s="60">
        <f t="shared" si="31"/>
        <v>22926.946744005429</v>
      </c>
      <c r="AJ122" s="62">
        <f t="shared" si="33"/>
        <v>136681.7441767579</v>
      </c>
    </row>
    <row r="123" spans="1:36" x14ac:dyDescent="0.25">
      <c r="A123" s="2">
        <v>116</v>
      </c>
      <c r="B123" s="36">
        <f t="shared" si="19"/>
        <v>10</v>
      </c>
      <c r="C123" s="11">
        <f>C122*(1+VLOOKUP(C$6,Data!$A$3:$G$8,6,0))^(1/12)</f>
        <v>5494.5345977368706</v>
      </c>
      <c r="D123" s="59">
        <f>C123*VLOOKUP(C$6,Data!$A$4:$G$8,3,FALSE)</f>
        <v>2747.2672988684353</v>
      </c>
      <c r="E123" s="37">
        <f>VLOOKUP(C$6,Data!$A$3:$G$8,5,FALSE)</f>
        <v>7.0000000000000007E-2</v>
      </c>
      <c r="F123" s="58">
        <f t="shared" si="20"/>
        <v>384.61742184158101</v>
      </c>
      <c r="G123" s="75">
        <f>F123*VLOOKUP(C$6,Data!$A$4:$G$8,2,FALSE)</f>
        <v>1923.0871092079051</v>
      </c>
      <c r="H123" s="75">
        <f t="shared" si="21"/>
        <v>824.18018966053023</v>
      </c>
      <c r="I123" s="11">
        <f>I122*(1+VLOOKUP(I$6,Data!$A$3:$G$8,6,0))^(1/12)</f>
        <v>9949.8460640955655</v>
      </c>
      <c r="J123" s="59">
        <f>I123*VLOOKUP(I$6,Data!$A$4:$G$8,3,FALSE)</f>
        <v>2984.9538192286695</v>
      </c>
      <c r="K123" s="37">
        <f>VLOOKUP(I$6,Data!$A$3:$G$8,5,FALSE)</f>
        <v>0.06</v>
      </c>
      <c r="L123" s="58">
        <f t="shared" si="22"/>
        <v>596.99076384573391</v>
      </c>
      <c r="M123" s="75">
        <f>L123*VLOOKUP(I$6,Data!$A$4:$G$8,2,FALSE)</f>
        <v>3581.9445830744035</v>
      </c>
      <c r="N123" s="75">
        <f t="shared" si="23"/>
        <v>-596.99076384573391</v>
      </c>
      <c r="O123" s="11">
        <f>O122*(1+VLOOKUP(O$6,Data!$A$3:$G$8,6,0))^(1/12)</f>
        <v>12266.482088380961</v>
      </c>
      <c r="P123" s="59">
        <f>O123*VLOOKUP(O$6,Data!$A$4:$G$8,3,FALSE)</f>
        <v>12266.482088380961</v>
      </c>
      <c r="Q123" s="37">
        <f>VLOOKUP(O$6,Data!$A$3:$G$8,5,FALSE)</f>
        <v>0.05</v>
      </c>
      <c r="R123" s="58">
        <f t="shared" si="24"/>
        <v>613.32410441904801</v>
      </c>
      <c r="S123" s="75">
        <f>R123*VLOOKUP(O$6,Data!$A$4:$G$8,2,FALSE)</f>
        <v>4599.9307831428605</v>
      </c>
      <c r="T123" s="75">
        <f t="shared" si="25"/>
        <v>7666.5513052381002</v>
      </c>
      <c r="U123" s="11">
        <f>U122*(1+VLOOKUP(U$6,Data!$A$3:$G$8,6,0))^(1/12)</f>
        <v>12820.58072805271</v>
      </c>
      <c r="V123" s="59">
        <f>U123*VLOOKUP(U$6,Data!$A$4:$G$8,3,FALSE)</f>
        <v>32051.451820131773</v>
      </c>
      <c r="W123" s="37">
        <f>VLOOKUP(U$6,Data!$A$3:$G$8,5,FALSE)</f>
        <v>7.0000000000000007E-2</v>
      </c>
      <c r="X123" s="58">
        <f t="shared" si="26"/>
        <v>897.44065096368979</v>
      </c>
      <c r="Y123" s="75">
        <f>X123*VLOOKUP(U$6,Data!$A$4:$G$8,2,FALSE)</f>
        <v>7628.2455331913634</v>
      </c>
      <c r="Z123" s="82">
        <f t="shared" si="27"/>
        <v>24423.206286940411</v>
      </c>
      <c r="AA123" s="11">
        <f>AA122*(1+VLOOKUP(AA$6,Data!$A$3:$G$8,6,0))^(1/12)</f>
        <v>13202.86222893276</v>
      </c>
      <c r="AB123" s="59">
        <f>AA123*VLOOKUP(AA$6,Data!$A$4:$G$8,3,FALSE)</f>
        <v>36307.871129565086</v>
      </c>
      <c r="AC123" s="37">
        <f>VLOOKUP(AA$6,Data!$A$3:$G$8,5,FALSE)</f>
        <v>0.08</v>
      </c>
      <c r="AD123" s="58">
        <f t="shared" si="28"/>
        <v>1056.2289783146207</v>
      </c>
      <c r="AE123" s="75">
        <f>AD123*VLOOKUP(AA$6,Data!$A$4:$G$8,2,FALSE)</f>
        <v>10562.289783146207</v>
      </c>
      <c r="AF123" s="82">
        <f t="shared" si="29"/>
        <v>25745.58134641888</v>
      </c>
      <c r="AG123" s="61">
        <f t="shared" si="30"/>
        <v>58062.528364412181</v>
      </c>
      <c r="AH123" s="60">
        <f t="shared" si="32"/>
        <v>35000</v>
      </c>
      <c r="AI123" s="60">
        <f t="shared" si="31"/>
        <v>23062.528364412181</v>
      </c>
      <c r="AJ123" s="62">
        <f t="shared" si="33"/>
        <v>114581.02750839993</v>
      </c>
    </row>
    <row r="124" spans="1:36" x14ac:dyDescent="0.25">
      <c r="A124" s="2">
        <v>117</v>
      </c>
      <c r="B124" s="36">
        <f t="shared" si="19"/>
        <v>10</v>
      </c>
      <c r="C124" s="11">
        <f>C123*(1+VLOOKUP(C$6,Data!$A$3:$G$8,6,0))^(1/12)</f>
        <v>5503.6092683412462</v>
      </c>
      <c r="D124" s="59">
        <f>C124*VLOOKUP(C$6,Data!$A$4:$G$8,3,FALSE)</f>
        <v>2751.8046341706231</v>
      </c>
      <c r="E124" s="37">
        <f>VLOOKUP(C$6,Data!$A$3:$G$8,5,FALSE)</f>
        <v>7.0000000000000007E-2</v>
      </c>
      <c r="F124" s="58">
        <f t="shared" si="20"/>
        <v>385.25264878388725</v>
      </c>
      <c r="G124" s="75">
        <f>F124*VLOOKUP(C$6,Data!$A$4:$G$8,2,FALSE)</f>
        <v>1926.2632439194363</v>
      </c>
      <c r="H124" s="75">
        <f t="shared" si="21"/>
        <v>825.54139025118684</v>
      </c>
      <c r="I124" s="11">
        <f>I123*(1+VLOOKUP(I$6,Data!$A$3:$G$8,6,0))^(1/12)</f>
        <v>9958.0998406376093</v>
      </c>
      <c r="J124" s="59">
        <f>I124*VLOOKUP(I$6,Data!$A$4:$G$8,3,FALSE)</f>
        <v>2987.4299521912826</v>
      </c>
      <c r="K124" s="37">
        <f>VLOOKUP(I$6,Data!$A$3:$G$8,5,FALSE)</f>
        <v>0.06</v>
      </c>
      <c r="L124" s="58">
        <f t="shared" si="22"/>
        <v>597.48599043825652</v>
      </c>
      <c r="M124" s="75">
        <f>L124*VLOOKUP(I$6,Data!$A$4:$G$8,2,FALSE)</f>
        <v>3584.9159426295391</v>
      </c>
      <c r="N124" s="75">
        <f t="shared" si="23"/>
        <v>-597.48599043825652</v>
      </c>
      <c r="O124" s="11">
        <f>O123*(1+VLOOKUP(O$6,Data!$A$3:$G$8,6,0))^(1/12)</f>
        <v>12316.45725479893</v>
      </c>
      <c r="P124" s="59">
        <f>O124*VLOOKUP(O$6,Data!$A$4:$G$8,3,FALSE)</f>
        <v>12316.45725479893</v>
      </c>
      <c r="Q124" s="37">
        <f>VLOOKUP(O$6,Data!$A$3:$G$8,5,FALSE)</f>
        <v>0.05</v>
      </c>
      <c r="R124" s="58">
        <f t="shared" si="24"/>
        <v>615.82286273994657</v>
      </c>
      <c r="S124" s="75">
        <f>R124*VLOOKUP(O$6,Data!$A$4:$G$8,2,FALSE)</f>
        <v>4618.6714705495997</v>
      </c>
      <c r="T124" s="75">
        <f t="shared" si="25"/>
        <v>7697.7857842493304</v>
      </c>
      <c r="U124" s="11">
        <f>U123*(1+VLOOKUP(U$6,Data!$A$3:$G$8,6,0))^(1/12)</f>
        <v>12841.75495946292</v>
      </c>
      <c r="V124" s="59">
        <f>U124*VLOOKUP(U$6,Data!$A$4:$G$8,3,FALSE)</f>
        <v>32104.387398657302</v>
      </c>
      <c r="W124" s="37">
        <f>VLOOKUP(U$6,Data!$A$3:$G$8,5,FALSE)</f>
        <v>7.0000000000000007E-2</v>
      </c>
      <c r="X124" s="58">
        <f t="shared" si="26"/>
        <v>898.92284716240454</v>
      </c>
      <c r="Y124" s="75">
        <f>X124*VLOOKUP(U$6,Data!$A$4:$G$8,2,FALSE)</f>
        <v>7640.8442008804386</v>
      </c>
      <c r="Z124" s="82">
        <f t="shared" si="27"/>
        <v>24463.543197776864</v>
      </c>
      <c r="AA124" s="11">
        <f>AA123*(1+VLOOKUP(AA$6,Data!$A$3:$G$8,6,0))^(1/12)</f>
        <v>13235.424048955867</v>
      </c>
      <c r="AB124" s="59">
        <f>AA124*VLOOKUP(AA$6,Data!$A$4:$G$8,3,FALSE)</f>
        <v>36397.416134628635</v>
      </c>
      <c r="AC124" s="37">
        <f>VLOOKUP(AA$6,Data!$A$3:$G$8,5,FALSE)</f>
        <v>0.08</v>
      </c>
      <c r="AD124" s="58">
        <f t="shared" si="28"/>
        <v>1058.8339239164693</v>
      </c>
      <c r="AE124" s="75">
        <f>AD124*VLOOKUP(AA$6,Data!$A$4:$G$8,2,FALSE)</f>
        <v>10588.339239164692</v>
      </c>
      <c r="AF124" s="82">
        <f t="shared" si="29"/>
        <v>25809.076895463942</v>
      </c>
      <c r="AG124" s="61">
        <f t="shared" si="30"/>
        <v>58198.461277303068</v>
      </c>
      <c r="AH124" s="60">
        <f t="shared" si="32"/>
        <v>35000</v>
      </c>
      <c r="AI124" s="60">
        <f t="shared" si="31"/>
        <v>23198.461277303068</v>
      </c>
      <c r="AJ124" s="62">
        <f t="shared" si="33"/>
        <v>92211.132176996165</v>
      </c>
    </row>
    <row r="125" spans="1:36" x14ac:dyDescent="0.25">
      <c r="A125" s="2">
        <v>118</v>
      </c>
      <c r="B125" s="36">
        <f t="shared" si="19"/>
        <v>10</v>
      </c>
      <c r="C125" s="11">
        <f>C124*(1+VLOOKUP(C$6,Data!$A$3:$G$8,6,0))^(1/12)</f>
        <v>5512.6989265019138</v>
      </c>
      <c r="D125" s="59">
        <f>C125*VLOOKUP(C$6,Data!$A$4:$G$8,3,FALSE)</f>
        <v>2756.3494632509569</v>
      </c>
      <c r="E125" s="37">
        <f>VLOOKUP(C$6,Data!$A$3:$G$8,5,FALSE)</f>
        <v>7.0000000000000007E-2</v>
      </c>
      <c r="F125" s="58">
        <f t="shared" si="20"/>
        <v>385.88892485513401</v>
      </c>
      <c r="G125" s="75">
        <f>F125*VLOOKUP(C$6,Data!$A$4:$G$8,2,FALSE)</f>
        <v>1929.4446242756701</v>
      </c>
      <c r="H125" s="75">
        <f t="shared" si="21"/>
        <v>826.90483897528679</v>
      </c>
      <c r="I125" s="11">
        <f>I124*(1+VLOOKUP(I$6,Data!$A$3:$G$8,6,0))^(1/12)</f>
        <v>9966.3604640018821</v>
      </c>
      <c r="J125" s="59">
        <f>I125*VLOOKUP(I$6,Data!$A$4:$G$8,3,FALSE)</f>
        <v>2989.9081392005646</v>
      </c>
      <c r="K125" s="37">
        <f>VLOOKUP(I$6,Data!$A$3:$G$8,5,FALSE)</f>
        <v>0.06</v>
      </c>
      <c r="L125" s="58">
        <f t="shared" si="22"/>
        <v>597.98162784011288</v>
      </c>
      <c r="M125" s="75">
        <f>L125*VLOOKUP(I$6,Data!$A$4:$G$8,2,FALSE)</f>
        <v>3587.8897670406773</v>
      </c>
      <c r="N125" s="75">
        <f t="shared" si="23"/>
        <v>-597.98162784011265</v>
      </c>
      <c r="O125" s="11">
        <f>O124*(1+VLOOKUP(O$6,Data!$A$3:$G$8,6,0))^(1/12)</f>
        <v>12366.636026230995</v>
      </c>
      <c r="P125" s="59">
        <f>O125*VLOOKUP(O$6,Data!$A$4:$G$8,3,FALSE)</f>
        <v>12366.636026230995</v>
      </c>
      <c r="Q125" s="37">
        <f>VLOOKUP(O$6,Data!$A$3:$G$8,5,FALSE)</f>
        <v>0.05</v>
      </c>
      <c r="R125" s="58">
        <f t="shared" si="24"/>
        <v>618.33180131154984</v>
      </c>
      <c r="S125" s="75">
        <f>R125*VLOOKUP(O$6,Data!$A$4:$G$8,2,FALSE)</f>
        <v>4637.488509836624</v>
      </c>
      <c r="T125" s="75">
        <f t="shared" si="25"/>
        <v>7729.1475163943715</v>
      </c>
      <c r="U125" s="11">
        <f>U124*(1+VLOOKUP(U$6,Data!$A$3:$G$8,6,0))^(1/12)</f>
        <v>12862.96416183781</v>
      </c>
      <c r="V125" s="59">
        <f>U125*VLOOKUP(U$6,Data!$A$4:$G$8,3,FALSE)</f>
        <v>32157.410404594524</v>
      </c>
      <c r="W125" s="37">
        <f>VLOOKUP(U$6,Data!$A$3:$G$8,5,FALSE)</f>
        <v>7.0000000000000007E-2</v>
      </c>
      <c r="X125" s="58">
        <f t="shared" si="26"/>
        <v>900.40749132864676</v>
      </c>
      <c r="Y125" s="75">
        <f>X125*VLOOKUP(U$6,Data!$A$4:$G$8,2,FALSE)</f>
        <v>7653.463676293497</v>
      </c>
      <c r="Z125" s="82">
        <f t="shared" si="27"/>
        <v>24503.946728301027</v>
      </c>
      <c r="AA125" s="11">
        <f>AA124*(1+VLOOKUP(AA$6,Data!$A$3:$G$8,6,0))^(1/12)</f>
        <v>13268.066175211428</v>
      </c>
      <c r="AB125" s="59">
        <f>AA125*VLOOKUP(AA$6,Data!$A$4:$G$8,3,FALSE)</f>
        <v>36487.181981831425</v>
      </c>
      <c r="AC125" s="37">
        <f>VLOOKUP(AA$6,Data!$A$3:$G$8,5,FALSE)</f>
        <v>0.08</v>
      </c>
      <c r="AD125" s="58">
        <f t="shared" si="28"/>
        <v>1061.4452940169142</v>
      </c>
      <c r="AE125" s="75">
        <f>AD125*VLOOKUP(AA$6,Data!$A$4:$G$8,2,FALSE)</f>
        <v>10614.452940169142</v>
      </c>
      <c r="AF125" s="82">
        <f t="shared" si="29"/>
        <v>25872.729041662285</v>
      </c>
      <c r="AG125" s="61">
        <f t="shared" si="30"/>
        <v>58334.746497492859</v>
      </c>
      <c r="AH125" s="60">
        <f t="shared" si="32"/>
        <v>35000</v>
      </c>
      <c r="AI125" s="60">
        <f t="shared" si="31"/>
        <v>23334.746497492859</v>
      </c>
      <c r="AJ125" s="62">
        <f t="shared" si="33"/>
        <v>69570.079726841301</v>
      </c>
    </row>
    <row r="126" spans="1:36" x14ac:dyDescent="0.25">
      <c r="A126" s="2">
        <v>119</v>
      </c>
      <c r="B126" s="36">
        <f t="shared" si="19"/>
        <v>10</v>
      </c>
      <c r="C126" s="11">
        <f>C125*(1+VLOOKUP(C$6,Data!$A$3:$G$8,6,0))^(1/12)</f>
        <v>5521.8035969720404</v>
      </c>
      <c r="D126" s="59">
        <f>C126*VLOOKUP(C$6,Data!$A$4:$G$8,3,FALSE)</f>
        <v>2760.9017984860202</v>
      </c>
      <c r="E126" s="37">
        <f>VLOOKUP(C$6,Data!$A$3:$G$8,5,FALSE)</f>
        <v>7.0000000000000007E-2</v>
      </c>
      <c r="F126" s="58">
        <f t="shared" si="20"/>
        <v>386.52625178804288</v>
      </c>
      <c r="G126" s="75">
        <f>F126*VLOOKUP(C$6,Data!$A$4:$G$8,2,FALSE)</f>
        <v>1932.6312589402144</v>
      </c>
      <c r="H126" s="75">
        <f t="shared" si="21"/>
        <v>828.27053954580583</v>
      </c>
      <c r="I126" s="11">
        <f>I125*(1+VLOOKUP(I$6,Data!$A$3:$G$8,6,0))^(1/12)</f>
        <v>9974.6279398680836</v>
      </c>
      <c r="J126" s="59">
        <f>I126*VLOOKUP(I$6,Data!$A$4:$G$8,3,FALSE)</f>
        <v>2992.3883819604248</v>
      </c>
      <c r="K126" s="37">
        <f>VLOOKUP(I$6,Data!$A$3:$G$8,5,FALSE)</f>
        <v>0.06</v>
      </c>
      <c r="L126" s="58">
        <f t="shared" si="22"/>
        <v>598.47767639208496</v>
      </c>
      <c r="M126" s="75">
        <f>L126*VLOOKUP(I$6,Data!$A$4:$G$8,2,FALSE)</f>
        <v>3590.8660583525098</v>
      </c>
      <c r="N126" s="75">
        <f t="shared" si="23"/>
        <v>-598.47767639208496</v>
      </c>
      <c r="O126" s="11">
        <f>O125*(1+VLOOKUP(O$6,Data!$A$3:$G$8,6,0))^(1/12)</f>
        <v>12417.019232189186</v>
      </c>
      <c r="P126" s="59">
        <f>O126*VLOOKUP(O$6,Data!$A$4:$G$8,3,FALSE)</f>
        <v>12417.019232189186</v>
      </c>
      <c r="Q126" s="37">
        <f>VLOOKUP(O$6,Data!$A$3:$G$8,5,FALSE)</f>
        <v>0.05</v>
      </c>
      <c r="R126" s="58">
        <f t="shared" si="24"/>
        <v>620.85096160945932</v>
      </c>
      <c r="S126" s="75">
        <f>R126*VLOOKUP(O$6,Data!$A$4:$G$8,2,FALSE)</f>
        <v>4656.3822120709447</v>
      </c>
      <c r="T126" s="75">
        <f t="shared" si="25"/>
        <v>7760.6370201182417</v>
      </c>
      <c r="U126" s="11">
        <f>U125*(1+VLOOKUP(U$6,Data!$A$3:$G$8,6,0))^(1/12)</f>
        <v>12884.208392934772</v>
      </c>
      <c r="V126" s="59">
        <f>U126*VLOOKUP(U$6,Data!$A$4:$G$8,3,FALSE)</f>
        <v>32210.52098233693</v>
      </c>
      <c r="W126" s="37">
        <f>VLOOKUP(U$6,Data!$A$3:$G$8,5,FALSE)</f>
        <v>7.0000000000000007E-2</v>
      </c>
      <c r="X126" s="58">
        <f t="shared" si="26"/>
        <v>901.89458750543406</v>
      </c>
      <c r="Y126" s="75">
        <f>X126*VLOOKUP(U$6,Data!$A$4:$G$8,2,FALSE)</f>
        <v>7666.1039937961896</v>
      </c>
      <c r="Z126" s="82">
        <f t="shared" si="27"/>
        <v>24544.416988540739</v>
      </c>
      <c r="AA126" s="11">
        <f>AA125*(1+VLOOKUP(AA$6,Data!$A$3:$G$8,6,0))^(1/12)</f>
        <v>13300.788805756278</v>
      </c>
      <c r="AB126" s="59">
        <f>AA126*VLOOKUP(AA$6,Data!$A$4:$G$8,3,FALSE)</f>
        <v>36577.169215829766</v>
      </c>
      <c r="AC126" s="37">
        <f>VLOOKUP(AA$6,Data!$A$3:$G$8,5,FALSE)</f>
        <v>0.08</v>
      </c>
      <c r="AD126" s="58">
        <f t="shared" si="28"/>
        <v>1064.0631044605022</v>
      </c>
      <c r="AE126" s="75">
        <f>AD126*VLOOKUP(AA$6,Data!$A$4:$G$8,2,FALSE)</f>
        <v>10640.631044605023</v>
      </c>
      <c r="AF126" s="82">
        <f t="shared" si="29"/>
        <v>25936.538171224744</v>
      </c>
      <c r="AG126" s="61">
        <f t="shared" si="30"/>
        <v>58471.385043037444</v>
      </c>
      <c r="AH126" s="60">
        <f t="shared" si="32"/>
        <v>35000</v>
      </c>
      <c r="AI126" s="60">
        <f t="shared" si="31"/>
        <v>23471.385043037444</v>
      </c>
      <c r="AJ126" s="62">
        <f t="shared" si="33"/>
        <v>46655.878727810719</v>
      </c>
    </row>
    <row r="127" spans="1:36" ht="15.75" thickBot="1" x14ac:dyDescent="0.3">
      <c r="A127" s="3">
        <v>120</v>
      </c>
      <c r="B127" s="42">
        <f t="shared" si="19"/>
        <v>10</v>
      </c>
      <c r="C127" s="11">
        <f>C126*(1+VLOOKUP(C$6,Data!$A$3:$G$8,6,0))^(1/12)</f>
        <v>5530.9233045456749</v>
      </c>
      <c r="D127" s="63">
        <f>C127*VLOOKUP(C$6,Data!$A$4:$G$8,3,FALSE)</f>
        <v>2765.4616522728375</v>
      </c>
      <c r="E127" s="64">
        <f>VLOOKUP(C$6,Data!$A$3:$G$8,5,FALSE)</f>
        <v>7.0000000000000007E-2</v>
      </c>
      <c r="F127" s="65">
        <f t="shared" si="20"/>
        <v>387.16463131819728</v>
      </c>
      <c r="G127" s="76">
        <f>F127*VLOOKUP(C$6,Data!$A$4:$G$8,2,FALSE)</f>
        <v>1935.8231565909864</v>
      </c>
      <c r="H127" s="76">
        <f t="shared" si="21"/>
        <v>829.63849568185105</v>
      </c>
      <c r="I127" s="11">
        <f>I126*(1+VLOOKUP(I$6,Data!$A$3:$G$8,6,0))^(1/12)</f>
        <v>9982.9022739206266</v>
      </c>
      <c r="J127" s="63">
        <f>I127*VLOOKUP(I$6,Data!$A$4:$G$8,3,FALSE)</f>
        <v>2994.870682176188</v>
      </c>
      <c r="K127" s="64">
        <f>VLOOKUP(I$6,Data!$A$3:$G$8,5,FALSE)</f>
        <v>0.06</v>
      </c>
      <c r="L127" s="65">
        <f t="shared" si="22"/>
        <v>598.9741364352376</v>
      </c>
      <c r="M127" s="76">
        <f>L127*VLOOKUP(I$6,Data!$A$4:$G$8,2,FALSE)</f>
        <v>3593.8448186114256</v>
      </c>
      <c r="N127" s="76">
        <f t="shared" si="23"/>
        <v>-598.9741364352376</v>
      </c>
      <c r="O127" s="11">
        <f>O126*(1+VLOOKUP(O$6,Data!$A$3:$G$8,6,0))^(1/12)</f>
        <v>12467.607705565068</v>
      </c>
      <c r="P127" s="63">
        <f>O127*VLOOKUP(O$6,Data!$A$4:$G$8,3,FALSE)</f>
        <v>12467.607705565068</v>
      </c>
      <c r="Q127" s="64">
        <f>VLOOKUP(O$6,Data!$A$3:$G$8,5,FALSE)</f>
        <v>0.05</v>
      </c>
      <c r="R127" s="65">
        <f t="shared" si="24"/>
        <v>623.38038527825347</v>
      </c>
      <c r="S127" s="76">
        <f>R127*VLOOKUP(O$6,Data!$A$4:$G$8,2,FALSE)</f>
        <v>4675.3528895869013</v>
      </c>
      <c r="T127" s="76">
        <f t="shared" si="25"/>
        <v>7792.2548159781663</v>
      </c>
      <c r="U127" s="11">
        <f>U126*(1+VLOOKUP(U$6,Data!$A$3:$G$8,6,0))^(1/12)</f>
        <v>12905.487710606587</v>
      </c>
      <c r="V127" s="63">
        <f>U127*VLOOKUP(U$6,Data!$A$4:$G$8,3,FALSE)</f>
        <v>32263.719276516465</v>
      </c>
      <c r="W127" s="64">
        <f>VLOOKUP(U$6,Data!$A$3:$G$8,5,FALSE)</f>
        <v>7.0000000000000007E-2</v>
      </c>
      <c r="X127" s="65">
        <f t="shared" si="26"/>
        <v>903.38413974246112</v>
      </c>
      <c r="Y127" s="76">
        <f>X127*VLOOKUP(U$6,Data!$A$4:$G$8,2,FALSE)</f>
        <v>7678.7651878109191</v>
      </c>
      <c r="Z127" s="83">
        <f t="shared" si="27"/>
        <v>24584.954088705548</v>
      </c>
      <c r="AA127" s="11">
        <f>AA126*(1+VLOOKUP(AA$6,Data!$A$3:$G$8,6,0))^(1/12)</f>
        <v>13333.59213913571</v>
      </c>
      <c r="AB127" s="63">
        <f>AA127*VLOOKUP(AA$6,Data!$A$4:$G$8,3,FALSE)</f>
        <v>36667.378382623203</v>
      </c>
      <c r="AC127" s="64">
        <f>VLOOKUP(AA$6,Data!$A$3:$G$8,5,FALSE)</f>
        <v>0.08</v>
      </c>
      <c r="AD127" s="65">
        <f t="shared" si="28"/>
        <v>1066.6873711308567</v>
      </c>
      <c r="AE127" s="76">
        <f>AD127*VLOOKUP(AA$6,Data!$A$4:$G$8,2,FALSE)</f>
        <v>10666.873711308566</v>
      </c>
      <c r="AF127" s="83">
        <f t="shared" si="29"/>
        <v>26000.504671314637</v>
      </c>
      <c r="AG127" s="74">
        <f t="shared" si="30"/>
        <v>58608.377935244964</v>
      </c>
      <c r="AH127" s="72">
        <f t="shared" si="32"/>
        <v>35000</v>
      </c>
      <c r="AI127" s="72">
        <f t="shared" si="31"/>
        <v>23608.377935244964</v>
      </c>
      <c r="AJ127" s="73">
        <f t="shared" si="33"/>
        <v>23466.524693690066</v>
      </c>
    </row>
  </sheetData>
  <mergeCells count="5">
    <mergeCell ref="C6:H6"/>
    <mergeCell ref="I6:N6"/>
    <mergeCell ref="O6:T6"/>
    <mergeCell ref="U6:Z6"/>
    <mergeCell ref="AA6:AF6"/>
  </mergeCells>
  <phoneticPr fontId="0" type="noConversion"/>
  <pageMargins left="0.7" right="0.7" top="0.75" bottom="0.75" header="0.3" footer="0.3"/>
  <pageSetup orientation="portrait" r:id="rId1"/>
  <colBreaks count="1" manualBreakCount="1">
    <brk id="3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6"/>
  <sheetViews>
    <sheetView zoomScaleNormal="100" workbookViewId="0">
      <selection activeCell="F1" sqref="F1"/>
    </sheetView>
  </sheetViews>
  <sheetFormatPr defaultRowHeight="15" x14ac:dyDescent="0.25"/>
  <cols>
    <col min="1" max="1" width="9.28515625" bestFit="1" customWidth="1"/>
    <col min="3" max="3" width="11.28515625" bestFit="1" customWidth="1"/>
    <col min="4" max="4" width="11" customWidth="1"/>
    <col min="5" max="5" width="17.85546875" bestFit="1" customWidth="1"/>
    <col min="6" max="6" width="14.7109375" bestFit="1" customWidth="1"/>
  </cols>
  <sheetData>
    <row r="1" spans="1:6" x14ac:dyDescent="0.25">
      <c r="A1" s="1" t="s">
        <v>26</v>
      </c>
      <c r="B1" s="1"/>
      <c r="C1" s="1"/>
    </row>
    <row r="3" spans="1:6" x14ac:dyDescent="0.25">
      <c r="E3" s="39" t="s">
        <v>30</v>
      </c>
      <c r="F3" s="88">
        <f>F7</f>
        <v>2598057.5930743013</v>
      </c>
    </row>
    <row r="4" spans="1:6" x14ac:dyDescent="0.25">
      <c r="E4" s="39" t="s">
        <v>44</v>
      </c>
      <c r="F4" s="89">
        <f>F3-Base_Price</f>
        <v>1288383.8461473486</v>
      </c>
    </row>
    <row r="5" spans="1:6" ht="15" customHeight="1" thickBot="1" x14ac:dyDescent="0.3"/>
    <row r="6" spans="1:6" ht="30.75" thickBot="1" x14ac:dyDescent="0.3">
      <c r="A6" s="12" t="s">
        <v>4</v>
      </c>
      <c r="B6" s="35" t="s">
        <v>0</v>
      </c>
      <c r="C6" s="6" t="s">
        <v>42</v>
      </c>
      <c r="D6" s="7" t="s">
        <v>38</v>
      </c>
      <c r="E6" s="7" t="s">
        <v>2</v>
      </c>
      <c r="F6" s="8" t="s">
        <v>43</v>
      </c>
    </row>
    <row r="7" spans="1:6" x14ac:dyDescent="0.25">
      <c r="A7" s="40">
        <v>1</v>
      </c>
      <c r="B7" s="41">
        <f>ROUNDUP(MAX((A7)/12,0),0)</f>
        <v>1</v>
      </c>
      <c r="C7" s="84">
        <f>'Base Price'!AG8</f>
        <v>44538.348005192456</v>
      </c>
      <c r="D7" s="84">
        <f t="shared" ref="D7:D38" si="0">IF(B7&lt;admin_saving_year, fixed_exp,fixed_exp*(1-admin_saving))</f>
        <v>35000</v>
      </c>
      <c r="E7" s="84">
        <f>C7-D7</f>
        <v>9538.3480051924562</v>
      </c>
      <c r="F7" s="85">
        <f t="shared" ref="F7:F38" si="1">(E7+F8)/(1+disc_rate)^(1/12)</f>
        <v>2598057.5930743013</v>
      </c>
    </row>
    <row r="8" spans="1:6" x14ac:dyDescent="0.25">
      <c r="A8" s="2">
        <v>2</v>
      </c>
      <c r="B8" s="36">
        <f t="shared" ref="B8:B71" si="2">ROUNDUP(MAX((A8)/12,0),0)</f>
        <v>1</v>
      </c>
      <c r="C8" s="60">
        <f>'Base Price'!AG9</f>
        <v>44639.789423694572</v>
      </c>
      <c r="D8" s="60">
        <f t="shared" si="0"/>
        <v>35000</v>
      </c>
      <c r="E8" s="60">
        <f t="shared" ref="E8:E71" si="3">C8-D8</f>
        <v>9639.7894236945722</v>
      </c>
      <c r="F8" s="62">
        <f t="shared" si="1"/>
        <v>2604224.2928396892</v>
      </c>
    </row>
    <row r="9" spans="1:6" x14ac:dyDescent="0.25">
      <c r="A9" s="2">
        <v>3</v>
      </c>
      <c r="B9" s="36">
        <f t="shared" si="2"/>
        <v>1</v>
      </c>
      <c r="C9" s="60">
        <f>'Base Price'!AG10</f>
        <v>44741.485126216532</v>
      </c>
      <c r="D9" s="60">
        <f t="shared" si="0"/>
        <v>35000</v>
      </c>
      <c r="E9" s="60">
        <f t="shared" si="3"/>
        <v>9741.4851262165321</v>
      </c>
      <c r="F9" s="62">
        <f t="shared" si="1"/>
        <v>2610326.8283873042</v>
      </c>
    </row>
    <row r="10" spans="1:6" x14ac:dyDescent="0.25">
      <c r="A10" s="2">
        <v>4</v>
      </c>
      <c r="B10" s="36">
        <f t="shared" si="2"/>
        <v>1</v>
      </c>
      <c r="C10" s="60">
        <f>'Base Price'!AG11</f>
        <v>44843.435822283966</v>
      </c>
      <c r="D10" s="60">
        <f t="shared" si="0"/>
        <v>35000</v>
      </c>
      <c r="E10" s="60">
        <f t="shared" si="3"/>
        <v>9843.4358222839655</v>
      </c>
      <c r="F10" s="62">
        <f t="shared" si="1"/>
        <v>2616364.5575656253</v>
      </c>
    </row>
    <row r="11" spans="1:6" x14ac:dyDescent="0.25">
      <c r="A11" s="2">
        <v>5</v>
      </c>
      <c r="B11" s="36">
        <f t="shared" si="2"/>
        <v>1</v>
      </c>
      <c r="C11" s="60">
        <f>'Base Price'!AG12</f>
        <v>44945.64222361851</v>
      </c>
      <c r="D11" s="60">
        <f t="shared" si="0"/>
        <v>35000</v>
      </c>
      <c r="E11" s="60">
        <f t="shared" si="3"/>
        <v>9945.6422236185099</v>
      </c>
      <c r="F11" s="62">
        <f t="shared" si="1"/>
        <v>2622336.8336318526</v>
      </c>
    </row>
    <row r="12" spans="1:6" x14ac:dyDescent="0.25">
      <c r="A12" s="2">
        <v>6</v>
      </c>
      <c r="B12" s="36">
        <f t="shared" si="2"/>
        <v>1</v>
      </c>
      <c r="C12" s="60">
        <f>'Base Price'!AG13</f>
        <v>45048.105044145217</v>
      </c>
      <c r="D12" s="60">
        <f t="shared" si="0"/>
        <v>35000</v>
      </c>
      <c r="E12" s="60">
        <f t="shared" si="3"/>
        <v>10048.105044145217</v>
      </c>
      <c r="F12" s="62">
        <f t="shared" si="1"/>
        <v>2628243.0052219564</v>
      </c>
    </row>
    <row r="13" spans="1:6" x14ac:dyDescent="0.25">
      <c r="A13" s="2">
        <v>7</v>
      </c>
      <c r="B13" s="36">
        <f t="shared" si="2"/>
        <v>1</v>
      </c>
      <c r="C13" s="60">
        <f>'Base Price'!AG14</f>
        <v>45150.825000000012</v>
      </c>
      <c r="D13" s="60">
        <f t="shared" si="0"/>
        <v>35000</v>
      </c>
      <c r="E13" s="60">
        <f t="shared" si="3"/>
        <v>10150.825000000012</v>
      </c>
      <c r="F13" s="62">
        <f t="shared" si="1"/>
        <v>2634082.4163205391</v>
      </c>
    </row>
    <row r="14" spans="1:6" x14ac:dyDescent="0.25">
      <c r="A14" s="2">
        <v>8</v>
      </c>
      <c r="B14" s="36">
        <f t="shared" si="2"/>
        <v>1</v>
      </c>
      <c r="C14" s="60">
        <f>'Base Price'!AG15</f>
        <v>45253.802809537148</v>
      </c>
      <c r="D14" s="60">
        <f t="shared" si="0"/>
        <v>35000</v>
      </c>
      <c r="E14" s="60">
        <f t="shared" si="3"/>
        <v>10253.802809537148</v>
      </c>
      <c r="F14" s="62">
        <f t="shared" si="1"/>
        <v>2639854.4062305074</v>
      </c>
    </row>
    <row r="15" spans="1:6" x14ac:dyDescent="0.25">
      <c r="A15" s="2">
        <v>9</v>
      </c>
      <c r="B15" s="36">
        <f t="shared" si="2"/>
        <v>1</v>
      </c>
      <c r="C15" s="60">
        <f>'Base Price'!AG16</f>
        <v>45357.039193336692</v>
      </c>
      <c r="D15" s="60">
        <f t="shared" si="0"/>
        <v>35000</v>
      </c>
      <c r="E15" s="60">
        <f t="shared" si="3"/>
        <v>10357.039193336692</v>
      </c>
      <c r="F15" s="62">
        <f t="shared" si="1"/>
        <v>2645558.3095425535</v>
      </c>
    </row>
    <row r="16" spans="1:6" x14ac:dyDescent="0.25">
      <c r="A16" s="2">
        <v>10</v>
      </c>
      <c r="B16" s="36">
        <f t="shared" si="2"/>
        <v>1</v>
      </c>
      <c r="C16" s="60">
        <f>'Base Price'!AG17</f>
        <v>45460.534874212099</v>
      </c>
      <c r="D16" s="60">
        <f t="shared" si="0"/>
        <v>35000</v>
      </c>
      <c r="E16" s="60">
        <f t="shared" si="3"/>
        <v>10460.534874212099</v>
      </c>
      <c r="F16" s="62">
        <f t="shared" si="1"/>
        <v>2651193.4561044434</v>
      </c>
    </row>
    <row r="17" spans="1:6" x14ac:dyDescent="0.25">
      <c r="A17" s="2">
        <v>11</v>
      </c>
      <c r="B17" s="36">
        <f t="shared" si="2"/>
        <v>1</v>
      </c>
      <c r="C17" s="60">
        <f>'Base Price'!AG18</f>
        <v>45564.290577217704</v>
      </c>
      <c r="D17" s="60">
        <f t="shared" si="0"/>
        <v>35000</v>
      </c>
      <c r="E17" s="60">
        <f t="shared" si="3"/>
        <v>10564.290577217704</v>
      </c>
      <c r="F17" s="62">
        <f t="shared" si="1"/>
        <v>2656759.170990115</v>
      </c>
    </row>
    <row r="18" spans="1:6" x14ac:dyDescent="0.25">
      <c r="A18" s="2">
        <v>12</v>
      </c>
      <c r="B18" s="36">
        <f t="shared" si="2"/>
        <v>1</v>
      </c>
      <c r="C18" s="60">
        <f>'Base Price'!AG19</f>
        <v>45668.307029656353</v>
      </c>
      <c r="D18" s="60">
        <f t="shared" si="0"/>
        <v>35000</v>
      </c>
      <c r="E18" s="60">
        <f t="shared" si="3"/>
        <v>10668.307029656353</v>
      </c>
      <c r="F18" s="62">
        <f t="shared" si="1"/>
        <v>2662254.774468577</v>
      </c>
    </row>
    <row r="19" spans="1:6" x14ac:dyDescent="0.25">
      <c r="A19" s="2">
        <v>13</v>
      </c>
      <c r="B19" s="36">
        <f t="shared" si="2"/>
        <v>2</v>
      </c>
      <c r="C19" s="60">
        <f>'Base Price'!AG20</f>
        <v>45772.584961086963</v>
      </c>
      <c r="D19" s="60">
        <f t="shared" si="0"/>
        <v>17500</v>
      </c>
      <c r="E19" s="60">
        <f t="shared" si="3"/>
        <v>28272.584961086963</v>
      </c>
      <c r="F19" s="62">
        <f t="shared" si="1"/>
        <v>2667679.5819726177</v>
      </c>
    </row>
    <row r="20" spans="1:6" x14ac:dyDescent="0.25">
      <c r="A20" s="2">
        <v>14</v>
      </c>
      <c r="B20" s="36">
        <f t="shared" si="2"/>
        <v>2</v>
      </c>
      <c r="C20" s="60">
        <f>'Base Price'!AG21</f>
        <v>45877.125103332219</v>
      </c>
      <c r="D20" s="60">
        <f t="shared" si="0"/>
        <v>17500</v>
      </c>
      <c r="E20" s="60">
        <f t="shared" si="3"/>
        <v>28377.125103332219</v>
      </c>
      <c r="F20" s="62">
        <f t="shared" si="1"/>
        <v>2655532.9040673114</v>
      </c>
    </row>
    <row r="21" spans="1:6" x14ac:dyDescent="0.25">
      <c r="A21" s="2">
        <v>15</v>
      </c>
      <c r="B21" s="36">
        <f t="shared" si="2"/>
        <v>2</v>
      </c>
      <c r="C21" s="60">
        <f>'Base Price'!AG22</f>
        <v>45981.928190486171</v>
      </c>
      <c r="D21" s="60">
        <f t="shared" si="0"/>
        <v>17500</v>
      </c>
      <c r="E21" s="60">
        <f t="shared" si="3"/>
        <v>28481.928190486171</v>
      </c>
      <c r="F21" s="62">
        <f t="shared" si="1"/>
        <v>2643208.2603354086</v>
      </c>
    </row>
    <row r="22" spans="1:6" x14ac:dyDescent="0.25">
      <c r="A22" s="2">
        <v>16</v>
      </c>
      <c r="B22" s="36">
        <f t="shared" si="2"/>
        <v>2</v>
      </c>
      <c r="C22" s="60">
        <f>'Base Price'!AG23</f>
        <v>46086.99495892194</v>
      </c>
      <c r="D22" s="60">
        <f t="shared" si="0"/>
        <v>17500</v>
      </c>
      <c r="E22" s="60">
        <f t="shared" si="3"/>
        <v>28586.99495892194</v>
      </c>
      <c r="F22" s="62">
        <f t="shared" si="1"/>
        <v>2630704.3120429893</v>
      </c>
    </row>
    <row r="23" spans="1:6" x14ac:dyDescent="0.25">
      <c r="A23" s="2">
        <v>17</v>
      </c>
      <c r="B23" s="36">
        <f t="shared" si="2"/>
        <v>2</v>
      </c>
      <c r="C23" s="60">
        <f>'Base Price'!AG24</f>
        <v>46192.326147299471</v>
      </c>
      <c r="D23" s="60">
        <f t="shared" si="0"/>
        <v>17500</v>
      </c>
      <c r="E23" s="60">
        <f t="shared" si="3"/>
        <v>28692.326147299471</v>
      </c>
      <c r="F23" s="62">
        <f t="shared" si="1"/>
        <v>2618019.7116272226</v>
      </c>
    </row>
    <row r="24" spans="1:6" x14ac:dyDescent="0.25">
      <c r="A24" s="2">
        <v>18</v>
      </c>
      <c r="B24" s="36">
        <f t="shared" si="2"/>
        <v>2</v>
      </c>
      <c r="C24" s="60">
        <f>'Base Price'!AG25</f>
        <v>46297.92249657325</v>
      </c>
      <c r="D24" s="60">
        <f t="shared" si="0"/>
        <v>17500</v>
      </c>
      <c r="E24" s="60">
        <f t="shared" si="3"/>
        <v>28797.92249657325</v>
      </c>
      <c r="F24" s="62">
        <f t="shared" si="1"/>
        <v>2605153.1026407094</v>
      </c>
    </row>
    <row r="25" spans="1:6" x14ac:dyDescent="0.25">
      <c r="A25" s="2">
        <v>19</v>
      </c>
      <c r="B25" s="36">
        <f t="shared" si="2"/>
        <v>2</v>
      </c>
      <c r="C25" s="60">
        <f>'Base Price'!AG26</f>
        <v>46403.784750000064</v>
      </c>
      <c r="D25" s="60">
        <f t="shared" si="0"/>
        <v>17500</v>
      </c>
      <c r="E25" s="60">
        <f t="shared" si="3"/>
        <v>28903.784750000064</v>
      </c>
      <c r="F25" s="62">
        <f t="shared" si="1"/>
        <v>2592103.1196954818</v>
      </c>
    </row>
    <row r="26" spans="1:6" x14ac:dyDescent="0.25">
      <c r="A26" s="2">
        <v>20</v>
      </c>
      <c r="B26" s="36">
        <f t="shared" si="2"/>
        <v>2</v>
      </c>
      <c r="C26" s="60">
        <f>'Base Price'!AG27</f>
        <v>46509.913653146839</v>
      </c>
      <c r="D26" s="60">
        <f t="shared" si="0"/>
        <v>17500</v>
      </c>
      <c r="E26" s="60">
        <f t="shared" si="3"/>
        <v>29009.913653146839</v>
      </c>
      <c r="F26" s="62">
        <f t="shared" si="1"/>
        <v>2578868.3884066548</v>
      </c>
    </row>
    <row r="27" spans="1:6" x14ac:dyDescent="0.25">
      <c r="A27" s="2">
        <v>21</v>
      </c>
      <c r="B27" s="36">
        <f t="shared" si="2"/>
        <v>2</v>
      </c>
      <c r="C27" s="60">
        <f>'Base Price'!AG28</f>
        <v>46616.309953898424</v>
      </c>
      <c r="D27" s="60">
        <f t="shared" si="0"/>
        <v>17500</v>
      </c>
      <c r="E27" s="60">
        <f t="shared" si="3"/>
        <v>29116.309953898424</v>
      </c>
      <c r="F27" s="62">
        <f t="shared" si="1"/>
        <v>2565447.5253357319</v>
      </c>
    </row>
    <row r="28" spans="1:6" x14ac:dyDescent="0.25">
      <c r="A28" s="2">
        <v>22</v>
      </c>
      <c r="B28" s="36">
        <f t="shared" si="2"/>
        <v>2</v>
      </c>
      <c r="C28" s="60">
        <f>'Base Price'!AG29</f>
        <v>46722.974402465508</v>
      </c>
      <c r="D28" s="60">
        <f t="shared" si="0"/>
        <v>17500</v>
      </c>
      <c r="E28" s="60">
        <f t="shared" si="3"/>
        <v>29222.974402465508</v>
      </c>
      <c r="F28" s="62">
        <f t="shared" si="1"/>
        <v>2551839.1379335574</v>
      </c>
    </row>
    <row r="29" spans="1:6" x14ac:dyDescent="0.25">
      <c r="A29" s="2">
        <v>23</v>
      </c>
      <c r="B29" s="36">
        <f t="shared" si="2"/>
        <v>2</v>
      </c>
      <c r="C29" s="60">
        <f>'Base Price'!AG30</f>
        <v>46829.907751392435</v>
      </c>
      <c r="D29" s="60">
        <f t="shared" si="0"/>
        <v>17500</v>
      </c>
      <c r="E29" s="60">
        <f t="shared" si="3"/>
        <v>29329.907751392435</v>
      </c>
      <c r="F29" s="62">
        <f t="shared" si="1"/>
        <v>2538041.8244829187</v>
      </c>
    </row>
    <row r="30" spans="1:6" x14ac:dyDescent="0.25">
      <c r="A30" s="2">
        <v>24</v>
      </c>
      <c r="B30" s="36">
        <f t="shared" si="2"/>
        <v>2</v>
      </c>
      <c r="C30" s="60">
        <f>'Base Price'!AG31</f>
        <v>46937.110755565198</v>
      </c>
      <c r="D30" s="60">
        <f t="shared" si="0"/>
        <v>17500</v>
      </c>
      <c r="E30" s="60">
        <f t="shared" si="3"/>
        <v>29437.110755565198</v>
      </c>
      <c r="F30" s="62">
        <f t="shared" si="1"/>
        <v>2524054.1740407911</v>
      </c>
    </row>
    <row r="31" spans="1:6" x14ac:dyDescent="0.25">
      <c r="A31" s="2">
        <v>25</v>
      </c>
      <c r="B31" s="36">
        <f t="shared" si="2"/>
        <v>3</v>
      </c>
      <c r="C31" s="60">
        <f>'Base Price'!AG32</f>
        <v>47044.584172219314</v>
      </c>
      <c r="D31" s="60">
        <f t="shared" si="0"/>
        <v>17500</v>
      </c>
      <c r="E31" s="60">
        <f t="shared" si="3"/>
        <v>29544.584172219314</v>
      </c>
      <c r="F31" s="62">
        <f t="shared" si="1"/>
        <v>2509874.7663802281</v>
      </c>
    </row>
    <row r="32" spans="1:6" x14ac:dyDescent="0.25">
      <c r="A32" s="2">
        <v>26</v>
      </c>
      <c r="B32" s="36">
        <f t="shared" si="2"/>
        <v>3</v>
      </c>
      <c r="C32" s="60">
        <f>'Base Price'!AG33</f>
        <v>47152.328760947821</v>
      </c>
      <c r="D32" s="60">
        <f t="shared" si="0"/>
        <v>17500</v>
      </c>
      <c r="E32" s="60">
        <f t="shared" si="3"/>
        <v>29652.328760947821</v>
      </c>
      <c r="F32" s="62">
        <f t="shared" si="1"/>
        <v>2495502.1719318903</v>
      </c>
    </row>
    <row r="33" spans="1:6" x14ac:dyDescent="0.25">
      <c r="A33" s="2">
        <v>27</v>
      </c>
      <c r="B33" s="36">
        <f t="shared" si="2"/>
        <v>3</v>
      </c>
      <c r="C33" s="60">
        <f>'Base Price'!AG34</f>
        <v>47260.345283709292</v>
      </c>
      <c r="D33" s="60">
        <f t="shared" si="0"/>
        <v>17500</v>
      </c>
      <c r="E33" s="60">
        <f t="shared" si="3"/>
        <v>29760.345283709292</v>
      </c>
      <c r="F33" s="62">
        <f t="shared" si="1"/>
        <v>2480934.9517252147</v>
      </c>
    </row>
    <row r="34" spans="1:6" x14ac:dyDescent="0.25">
      <c r="A34" s="2">
        <v>28</v>
      </c>
      <c r="B34" s="36">
        <f t="shared" si="2"/>
        <v>3</v>
      </c>
      <c r="C34" s="60">
        <f>'Base Price'!AG35</f>
        <v>47368.634504835856</v>
      </c>
      <c r="D34" s="60">
        <f t="shared" si="0"/>
        <v>17500</v>
      </c>
      <c r="E34" s="60">
        <f t="shared" si="3"/>
        <v>29868.634504835856</v>
      </c>
      <c r="F34" s="62">
        <f t="shared" si="1"/>
        <v>2466171.6573292194</v>
      </c>
    </row>
    <row r="35" spans="1:6" x14ac:dyDescent="0.25">
      <c r="A35" s="2">
        <v>29</v>
      </c>
      <c r="B35" s="36">
        <f t="shared" si="2"/>
        <v>3</v>
      </c>
      <c r="C35" s="60">
        <f>'Base Price'!AG36</f>
        <v>47477.197191041254</v>
      </c>
      <c r="D35" s="60">
        <f t="shared" si="0"/>
        <v>17500</v>
      </c>
      <c r="E35" s="60">
        <f t="shared" si="3"/>
        <v>29977.197191041254</v>
      </c>
      <c r="F35" s="62">
        <f t="shared" si="1"/>
        <v>2451210.8307929416</v>
      </c>
    </row>
    <row r="36" spans="1:6" x14ac:dyDescent="0.25">
      <c r="A36" s="2">
        <v>30</v>
      </c>
      <c r="B36" s="36">
        <f t="shared" si="2"/>
        <v>3</v>
      </c>
      <c r="C36" s="60">
        <f>'Base Price'!AG37</f>
        <v>47586.034111428919</v>
      </c>
      <c r="D36" s="60">
        <f t="shared" si="0"/>
        <v>17500</v>
      </c>
      <c r="E36" s="60">
        <f t="shared" si="3"/>
        <v>30086.034111428919</v>
      </c>
      <c r="F36" s="62">
        <f t="shared" si="1"/>
        <v>2436051.0045855101</v>
      </c>
    </row>
    <row r="37" spans="1:6" x14ac:dyDescent="0.25">
      <c r="A37" s="2">
        <v>31</v>
      </c>
      <c r="B37" s="36">
        <f t="shared" si="2"/>
        <v>3</v>
      </c>
      <c r="C37" s="60">
        <f>'Base Price'!AG38</f>
        <v>47695.146037500119</v>
      </c>
      <c r="D37" s="60">
        <f t="shared" si="0"/>
        <v>17500</v>
      </c>
      <c r="E37" s="60">
        <f t="shared" si="3"/>
        <v>30195.146037500119</v>
      </c>
      <c r="F37" s="62">
        <f t="shared" si="1"/>
        <v>2420690.7015358452</v>
      </c>
    </row>
    <row r="38" spans="1:6" x14ac:dyDescent="0.25">
      <c r="A38" s="2">
        <v>32</v>
      </c>
      <c r="B38" s="36">
        <f t="shared" si="2"/>
        <v>3</v>
      </c>
      <c r="C38" s="60">
        <f>'Base Price'!AG39</f>
        <v>47804.533743162065</v>
      </c>
      <c r="D38" s="60">
        <f t="shared" si="0"/>
        <v>17500</v>
      </c>
      <c r="E38" s="60">
        <f t="shared" si="3"/>
        <v>30304.533743162065</v>
      </c>
      <c r="F38" s="62">
        <f t="shared" si="1"/>
        <v>2405128.4347719848</v>
      </c>
    </row>
    <row r="39" spans="1:6" x14ac:dyDescent="0.25">
      <c r="A39" s="2">
        <v>33</v>
      </c>
      <c r="B39" s="36">
        <f t="shared" si="2"/>
        <v>3</v>
      </c>
      <c r="C39" s="60">
        <f>'Base Price'!AG40</f>
        <v>47914.198004736136</v>
      </c>
      <c r="D39" s="60">
        <f t="shared" ref="D39:D70" si="4">IF(B39&lt;admin_saving_year, fixed_exp,fixed_exp*(1-admin_saving))</f>
        <v>17500</v>
      </c>
      <c r="E39" s="60">
        <f t="shared" si="3"/>
        <v>30414.198004736136</v>
      </c>
      <c r="F39" s="62">
        <f t="shared" ref="F39:F70" si="5">(E39+F40)/(1+disc_rate)^(1/12)</f>
        <v>2389362.7076600408</v>
      </c>
    </row>
    <row r="40" spans="1:6" x14ac:dyDescent="0.25">
      <c r="A40" s="2">
        <v>34</v>
      </c>
      <c r="B40" s="36">
        <f t="shared" si="2"/>
        <v>3</v>
      </c>
      <c r="C40" s="60">
        <f>'Base Price'!AG41</f>
        <v>48024.139600966046</v>
      </c>
      <c r="D40" s="60">
        <f t="shared" si="4"/>
        <v>17500</v>
      </c>
      <c r="E40" s="60">
        <f t="shared" si="3"/>
        <v>30524.139600966046</v>
      </c>
      <c r="F40" s="62">
        <f t="shared" si="5"/>
        <v>2373392.0137427719</v>
      </c>
    </row>
    <row r="41" spans="1:6" x14ac:dyDescent="0.25">
      <c r="A41" s="2">
        <v>35</v>
      </c>
      <c r="B41" s="36">
        <f t="shared" si="2"/>
        <v>3</v>
      </c>
      <c r="C41" s="60">
        <f>'Base Price'!AG42</f>
        <v>48134.359313026114</v>
      </c>
      <c r="D41" s="60">
        <f t="shared" si="4"/>
        <v>17500</v>
      </c>
      <c r="E41" s="60">
        <f t="shared" si="3"/>
        <v>30634.359313026114</v>
      </c>
      <c r="F41" s="62">
        <f t="shared" si="5"/>
        <v>2357214.8366777813</v>
      </c>
    </row>
    <row r="42" spans="1:6" x14ac:dyDescent="0.25">
      <c r="A42" s="2">
        <v>36</v>
      </c>
      <c r="B42" s="36">
        <f t="shared" si="2"/>
        <v>3</v>
      </c>
      <c r="C42" s="60">
        <f>'Base Price'!AG43</f>
        <v>48244.857924529475</v>
      </c>
      <c r="D42" s="60">
        <f t="shared" si="4"/>
        <v>17500</v>
      </c>
      <c r="E42" s="60">
        <f t="shared" si="3"/>
        <v>30744.857924529475</v>
      </c>
      <c r="F42" s="62">
        <f t="shared" si="5"/>
        <v>2340829.6501753316</v>
      </c>
    </row>
    <row r="43" spans="1:6" x14ac:dyDescent="0.25">
      <c r="A43" s="2">
        <v>37</v>
      </c>
      <c r="B43" s="36">
        <f t="shared" si="2"/>
        <v>4</v>
      </c>
      <c r="C43" s="60">
        <f>'Base Price'!AG44</f>
        <v>48355.636221536421</v>
      </c>
      <c r="D43" s="60">
        <f t="shared" si="4"/>
        <v>17500</v>
      </c>
      <c r="E43" s="60">
        <f t="shared" si="3"/>
        <v>30855.636221536421</v>
      </c>
      <c r="F43" s="62">
        <f t="shared" si="5"/>
        <v>2324234.9179357733</v>
      </c>
    </row>
    <row r="44" spans="1:6" x14ac:dyDescent="0.25">
      <c r="A44" s="2">
        <v>38</v>
      </c>
      <c r="B44" s="36">
        <f t="shared" si="2"/>
        <v>4</v>
      </c>
      <c r="C44" s="60">
        <f>'Base Price'!AG45</f>
        <v>48466.694992562727</v>
      </c>
      <c r="D44" s="60">
        <f t="shared" si="4"/>
        <v>17500</v>
      </c>
      <c r="E44" s="60">
        <f t="shared" si="3"/>
        <v>30966.694992562727</v>
      </c>
      <c r="F44" s="62">
        <f t="shared" si="5"/>
        <v>2307429.0935865897</v>
      </c>
    </row>
    <row r="45" spans="1:6" x14ac:dyDescent="0.25">
      <c r="A45" s="2">
        <v>39</v>
      </c>
      <c r="B45" s="36">
        <f t="shared" si="2"/>
        <v>4</v>
      </c>
      <c r="C45" s="60">
        <f>'Base Price'!AG46</f>
        <v>48578.035028588012</v>
      </c>
      <c r="D45" s="60">
        <f t="shared" si="4"/>
        <v>17500</v>
      </c>
      <c r="E45" s="60">
        <f t="shared" si="3"/>
        <v>31078.035028588012</v>
      </c>
      <c r="F45" s="62">
        <f t="shared" si="5"/>
        <v>2290410.6206190526</v>
      </c>
    </row>
    <row r="46" spans="1:6" x14ac:dyDescent="0.25">
      <c r="A46" s="2">
        <v>40</v>
      </c>
      <c r="B46" s="36">
        <f t="shared" si="2"/>
        <v>4</v>
      </c>
      <c r="C46" s="60">
        <f>'Base Price'!AG47</f>
        <v>48689.657123064069</v>
      </c>
      <c r="D46" s="60">
        <f t="shared" si="4"/>
        <v>17500</v>
      </c>
      <c r="E46" s="60">
        <f t="shared" si="3"/>
        <v>31189.657123064069</v>
      </c>
      <c r="F46" s="62">
        <f t="shared" si="5"/>
        <v>2273177.9323244845</v>
      </c>
    </row>
    <row r="47" spans="1:6" x14ac:dyDescent="0.25">
      <c r="A47" s="2">
        <v>41</v>
      </c>
      <c r="B47" s="36">
        <f t="shared" si="2"/>
        <v>4</v>
      </c>
      <c r="C47" s="60">
        <f>'Base Price'!AG48</f>
        <v>48801.562071923334</v>
      </c>
      <c r="D47" s="60">
        <f t="shared" si="4"/>
        <v>17500</v>
      </c>
      <c r="E47" s="60">
        <f t="shared" si="3"/>
        <v>31301.562071923334</v>
      </c>
      <c r="F47" s="62">
        <f t="shared" si="5"/>
        <v>2255729.4517301288</v>
      </c>
    </row>
    <row r="48" spans="1:6" x14ac:dyDescent="0.25">
      <c r="A48" s="2">
        <v>42</v>
      </c>
      <c r="B48" s="36">
        <f t="shared" si="2"/>
        <v>4</v>
      </c>
      <c r="C48" s="60">
        <f>'Base Price'!AG49</f>
        <v>48913.750673587347</v>
      </c>
      <c r="D48" s="60">
        <f t="shared" si="4"/>
        <v>17500</v>
      </c>
      <c r="E48" s="60">
        <f t="shared" si="3"/>
        <v>31413.750673587347</v>
      </c>
      <c r="F48" s="62">
        <f t="shared" si="5"/>
        <v>2238063.5915346243</v>
      </c>
    </row>
    <row r="49" spans="1:6" x14ac:dyDescent="0.25">
      <c r="A49" s="2">
        <v>43</v>
      </c>
      <c r="B49" s="36">
        <f t="shared" si="2"/>
        <v>4</v>
      </c>
      <c r="C49" s="60">
        <f>'Base Price'!AG50</f>
        <v>49026.22372897515</v>
      </c>
      <c r="D49" s="60">
        <f t="shared" si="4"/>
        <v>17500</v>
      </c>
      <c r="E49" s="60">
        <f t="shared" si="3"/>
        <v>31526.22372897515</v>
      </c>
      <c r="F49" s="62">
        <f t="shared" si="5"/>
        <v>2220178.754043079</v>
      </c>
    </row>
    <row r="50" spans="1:6" x14ac:dyDescent="0.25">
      <c r="A50" s="2">
        <v>44</v>
      </c>
      <c r="B50" s="36">
        <f t="shared" si="2"/>
        <v>4</v>
      </c>
      <c r="C50" s="60">
        <f>'Base Price'!AG51</f>
        <v>49138.982041511917</v>
      </c>
      <c r="D50" s="60">
        <f t="shared" si="4"/>
        <v>17500</v>
      </c>
      <c r="E50" s="60">
        <f t="shared" si="3"/>
        <v>31638.982041511917</v>
      </c>
      <c r="F50" s="62">
        <f t="shared" si="5"/>
        <v>2202073.3311017468</v>
      </c>
    </row>
    <row r="51" spans="1:6" x14ac:dyDescent="0.25">
      <c r="A51" s="2">
        <v>45</v>
      </c>
      <c r="B51" s="36">
        <f t="shared" si="2"/>
        <v>4</v>
      </c>
      <c r="C51" s="60">
        <f>'Base Price'!AG52</f>
        <v>49252.026417137371</v>
      </c>
      <c r="D51" s="60">
        <f t="shared" si="4"/>
        <v>17500</v>
      </c>
      <c r="E51" s="60">
        <f t="shared" si="3"/>
        <v>31752.026417137371</v>
      </c>
      <c r="F51" s="62">
        <f t="shared" si="5"/>
        <v>2183745.7040322972</v>
      </c>
    </row>
    <row r="52" spans="1:6" x14ac:dyDescent="0.25">
      <c r="A52" s="2">
        <v>46</v>
      </c>
      <c r="B52" s="36">
        <f t="shared" si="2"/>
        <v>4</v>
      </c>
      <c r="C52" s="60">
        <f>'Base Price'!AG53</f>
        <v>49365.357664314426</v>
      </c>
      <c r="D52" s="60">
        <f t="shared" si="4"/>
        <v>17500</v>
      </c>
      <c r="E52" s="60">
        <f t="shared" si="3"/>
        <v>31865.357664314426</v>
      </c>
      <c r="F52" s="62">
        <f t="shared" si="5"/>
        <v>2165194.24356568</v>
      </c>
    </row>
    <row r="53" spans="1:6" x14ac:dyDescent="0.25">
      <c r="A53" s="2">
        <v>47</v>
      </c>
      <c r="B53" s="36">
        <f t="shared" si="2"/>
        <v>4</v>
      </c>
      <c r="C53" s="60">
        <f>'Base Price'!AG54</f>
        <v>49478.976594037769</v>
      </c>
      <c r="D53" s="60">
        <f t="shared" si="4"/>
        <v>17500</v>
      </c>
      <c r="E53" s="60">
        <f t="shared" si="3"/>
        <v>31978.976594037769</v>
      </c>
      <c r="F53" s="62">
        <f t="shared" si="5"/>
        <v>2146417.3097755825</v>
      </c>
    </row>
    <row r="54" spans="1:6" x14ac:dyDescent="0.25">
      <c r="A54" s="2">
        <v>48</v>
      </c>
      <c r="B54" s="36">
        <f t="shared" si="2"/>
        <v>4</v>
      </c>
      <c r="C54" s="60">
        <f>'Base Price'!AG55</f>
        <v>49592.88401984251</v>
      </c>
      <c r="D54" s="60">
        <f t="shared" si="4"/>
        <v>17500</v>
      </c>
      <c r="E54" s="60">
        <f t="shared" si="3"/>
        <v>32092.88401984251</v>
      </c>
      <c r="F54" s="62">
        <f t="shared" si="5"/>
        <v>2127413.2520114761</v>
      </c>
    </row>
    <row r="55" spans="1:6" x14ac:dyDescent="0.25">
      <c r="A55" s="2">
        <v>49</v>
      </c>
      <c r="B55" s="36">
        <f t="shared" si="2"/>
        <v>5</v>
      </c>
      <c r="C55" s="60">
        <f>'Base Price'!AG56</f>
        <v>49707.080757812808</v>
      </c>
      <c r="D55" s="60">
        <f t="shared" si="4"/>
        <v>17500</v>
      </c>
      <c r="E55" s="60">
        <f t="shared" si="3"/>
        <v>32207.080757812808</v>
      </c>
      <c r="F55" s="62">
        <f t="shared" si="5"/>
        <v>2108180.4088312481</v>
      </c>
    </row>
    <row r="56" spans="1:6" x14ac:dyDescent="0.25">
      <c r="A56" s="2">
        <v>50</v>
      </c>
      <c r="B56" s="36">
        <f t="shared" si="2"/>
        <v>5</v>
      </c>
      <c r="C56" s="60">
        <f>'Base Price'!AG57</f>
        <v>49821.567626590608</v>
      </c>
      <c r="D56" s="60">
        <f t="shared" si="4"/>
        <v>17500</v>
      </c>
      <c r="E56" s="60">
        <f t="shared" si="3"/>
        <v>32321.567626590608</v>
      </c>
      <c r="F56" s="62">
        <f t="shared" si="5"/>
        <v>2088717.1079334184</v>
      </c>
    </row>
    <row r="57" spans="1:6" x14ac:dyDescent="0.25">
      <c r="A57" s="2">
        <v>51</v>
      </c>
      <c r="B57" s="36">
        <f t="shared" si="2"/>
        <v>5</v>
      </c>
      <c r="C57" s="60">
        <f>'Base Price'!AG58</f>
        <v>49936.345447384338</v>
      </c>
      <c r="D57" s="60">
        <f t="shared" si="4"/>
        <v>17500</v>
      </c>
      <c r="E57" s="60">
        <f t="shared" si="3"/>
        <v>32436.345447384338</v>
      </c>
      <c r="F57" s="62">
        <f t="shared" si="5"/>
        <v>2069021.6660889378</v>
      </c>
    </row>
    <row r="58" spans="1:6" x14ac:dyDescent="0.25">
      <c r="A58" s="2">
        <v>52</v>
      </c>
      <c r="B58" s="36">
        <f t="shared" si="2"/>
        <v>5</v>
      </c>
      <c r="C58" s="60">
        <f>'Base Price'!AG59</f>
        <v>50051.415043977693</v>
      </c>
      <c r="D58" s="60">
        <f t="shared" si="4"/>
        <v>17500</v>
      </c>
      <c r="E58" s="60">
        <f t="shared" si="3"/>
        <v>32551.415043977693</v>
      </c>
      <c r="F58" s="62">
        <f t="shared" si="5"/>
        <v>2049092.3890725663</v>
      </c>
    </row>
    <row r="59" spans="1:6" x14ac:dyDescent="0.25">
      <c r="A59" s="2">
        <v>53</v>
      </c>
      <c r="B59" s="36">
        <f t="shared" si="2"/>
        <v>5</v>
      </c>
      <c r="C59" s="60">
        <f>'Base Price'!AG60</f>
        <v>50166.77724273839</v>
      </c>
      <c r="D59" s="60">
        <f t="shared" si="4"/>
        <v>17500</v>
      </c>
      <c r="E59" s="60">
        <f t="shared" si="3"/>
        <v>32666.77724273839</v>
      </c>
      <c r="F59" s="62">
        <f t="shared" si="5"/>
        <v>2028927.5715938245</v>
      </c>
    </row>
    <row r="60" spans="1:6" x14ac:dyDescent="0.25">
      <c r="A60" s="2">
        <v>54</v>
      </c>
      <c r="B60" s="36">
        <f t="shared" si="2"/>
        <v>5</v>
      </c>
      <c r="C60" s="60">
        <f>'Base Price'!AG61</f>
        <v>50282.432872627032</v>
      </c>
      <c r="D60" s="60">
        <f t="shared" si="4"/>
        <v>17500</v>
      </c>
      <c r="E60" s="60">
        <f t="shared" si="3"/>
        <v>32782.432872627032</v>
      </c>
      <c r="F60" s="62">
        <f t="shared" si="5"/>
        <v>2008525.4972275237</v>
      </c>
    </row>
    <row r="61" spans="1:6" x14ac:dyDescent="0.25">
      <c r="A61" s="2">
        <v>55</v>
      </c>
      <c r="B61" s="36">
        <f t="shared" si="2"/>
        <v>5</v>
      </c>
      <c r="C61" s="60">
        <f>'Base Price'!AG62</f>
        <v>50398.382765205955</v>
      </c>
      <c r="D61" s="60">
        <f t="shared" si="4"/>
        <v>17500</v>
      </c>
      <c r="E61" s="60">
        <f t="shared" si="3"/>
        <v>32898.382765205955</v>
      </c>
      <c r="F61" s="62">
        <f t="shared" si="5"/>
        <v>1987884.4383438623</v>
      </c>
    </row>
    <row r="62" spans="1:6" x14ac:dyDescent="0.25">
      <c r="A62" s="2">
        <v>56</v>
      </c>
      <c r="B62" s="36">
        <f t="shared" si="2"/>
        <v>5</v>
      </c>
      <c r="C62" s="60">
        <f>'Base Price'!AG63</f>
        <v>50514.627754648056</v>
      </c>
      <c r="D62" s="60">
        <f t="shared" si="4"/>
        <v>17500</v>
      </c>
      <c r="E62" s="60">
        <f t="shared" si="3"/>
        <v>33014.627754648056</v>
      </c>
      <c r="F62" s="62">
        <f t="shared" si="5"/>
        <v>1967002.6560380945</v>
      </c>
    </row>
    <row r="63" spans="1:6" x14ac:dyDescent="0.25">
      <c r="A63" s="2">
        <v>57</v>
      </c>
      <c r="B63" s="36">
        <f t="shared" si="2"/>
        <v>5</v>
      </c>
      <c r="C63" s="60">
        <f>'Base Price'!AG64</f>
        <v>50631.168677745794</v>
      </c>
      <c r="D63" s="60">
        <f t="shared" si="4"/>
        <v>17500</v>
      </c>
      <c r="E63" s="60">
        <f t="shared" si="3"/>
        <v>33131.168677745794</v>
      </c>
      <c r="F63" s="62">
        <f t="shared" si="5"/>
        <v>1945878.4000597636</v>
      </c>
    </row>
    <row r="64" spans="1:6" x14ac:dyDescent="0.25">
      <c r="A64" s="2">
        <v>58</v>
      </c>
      <c r="B64" s="36">
        <f t="shared" si="2"/>
        <v>5</v>
      </c>
      <c r="C64" s="60">
        <f>'Base Price'!AG65</f>
        <v>50748.006373920129</v>
      </c>
      <c r="D64" s="60">
        <f t="shared" si="4"/>
        <v>17500</v>
      </c>
      <c r="E64" s="60">
        <f t="shared" si="3"/>
        <v>33248.006373920129</v>
      </c>
      <c r="F64" s="62">
        <f t="shared" si="5"/>
        <v>1924509.9087414972</v>
      </c>
    </row>
    <row r="65" spans="1:6" x14ac:dyDescent="0.25">
      <c r="A65" s="2">
        <v>59</v>
      </c>
      <c r="B65" s="36">
        <f t="shared" si="2"/>
        <v>5</v>
      </c>
      <c r="C65" s="60">
        <f>'Base Price'!AG66</f>
        <v>50865.141685229442</v>
      </c>
      <c r="D65" s="60">
        <f t="shared" si="4"/>
        <v>17500</v>
      </c>
      <c r="E65" s="60">
        <f t="shared" si="3"/>
        <v>33365.141685229442</v>
      </c>
      <c r="F65" s="62">
        <f t="shared" si="5"/>
        <v>1902895.4089273666</v>
      </c>
    </row>
    <row r="66" spans="1:6" x14ac:dyDescent="0.25">
      <c r="A66" s="2">
        <v>60</v>
      </c>
      <c r="B66" s="36">
        <f t="shared" si="2"/>
        <v>5</v>
      </c>
      <c r="C66" s="60">
        <f>'Base Price'!AG67</f>
        <v>50982.575456378618</v>
      </c>
      <c r="D66" s="60">
        <f t="shared" si="4"/>
        <v>17500</v>
      </c>
      <c r="E66" s="60">
        <f t="shared" si="3"/>
        <v>33482.575456378618</v>
      </c>
      <c r="F66" s="62">
        <f t="shared" si="5"/>
        <v>1881033.1159007996</v>
      </c>
    </row>
    <row r="67" spans="1:6" x14ac:dyDescent="0.25">
      <c r="A67" s="2">
        <v>61</v>
      </c>
      <c r="B67" s="36">
        <f t="shared" si="2"/>
        <v>6</v>
      </c>
      <c r="C67" s="60">
        <f>'Base Price'!AG68</f>
        <v>51100.308534728058</v>
      </c>
      <c r="D67" s="60">
        <f t="shared" si="4"/>
        <v>17500</v>
      </c>
      <c r="E67" s="60">
        <f t="shared" si="3"/>
        <v>33600.308534728058</v>
      </c>
      <c r="F67" s="62">
        <f t="shared" si="5"/>
        <v>1858921.2333120527</v>
      </c>
    </row>
    <row r="68" spans="1:6" x14ac:dyDescent="0.25">
      <c r="A68" s="2">
        <v>62</v>
      </c>
      <c r="B68" s="36">
        <f t="shared" si="2"/>
        <v>6</v>
      </c>
      <c r="C68" s="60">
        <f>'Base Price'!AG69</f>
        <v>51218.341770302795</v>
      </c>
      <c r="D68" s="60">
        <f t="shared" si="4"/>
        <v>17500</v>
      </c>
      <c r="E68" s="60">
        <f t="shared" si="3"/>
        <v>33718.341770302795</v>
      </c>
      <c r="F68" s="62">
        <f t="shared" si="5"/>
        <v>1836557.9531052324</v>
      </c>
    </row>
    <row r="69" spans="1:6" x14ac:dyDescent="0.25">
      <c r="A69" s="2">
        <v>63</v>
      </c>
      <c r="B69" s="36">
        <f t="shared" si="2"/>
        <v>6</v>
      </c>
      <c r="C69" s="60">
        <f>'Base Price'!AG70</f>
        <v>51336.676015801582</v>
      </c>
      <c r="D69" s="60">
        <f t="shared" si="4"/>
        <v>17500</v>
      </c>
      <c r="E69" s="60">
        <f t="shared" si="3"/>
        <v>33836.676015801582</v>
      </c>
      <c r="F69" s="62">
        <f t="shared" si="5"/>
        <v>1813941.4554448698</v>
      </c>
    </row>
    <row r="70" spans="1:6" x14ac:dyDescent="0.25">
      <c r="A70" s="2">
        <v>64</v>
      </c>
      <c r="B70" s="36">
        <f t="shared" si="2"/>
        <v>6</v>
      </c>
      <c r="C70" s="60">
        <f>'Base Price'!AG71</f>
        <v>51455.312126606033</v>
      </c>
      <c r="D70" s="60">
        <f t="shared" si="4"/>
        <v>17500</v>
      </c>
      <c r="E70" s="60">
        <f t="shared" si="3"/>
        <v>33955.312126606033</v>
      </c>
      <c r="F70" s="62">
        <f t="shared" si="5"/>
        <v>1791069.9086420385</v>
      </c>
    </row>
    <row r="71" spans="1:6" x14ac:dyDescent="0.25">
      <c r="A71" s="2">
        <v>65</v>
      </c>
      <c r="B71" s="36">
        <f t="shared" si="2"/>
        <v>6</v>
      </c>
      <c r="C71" s="60">
        <f>'Base Price'!AG72</f>
        <v>51574.250960789839</v>
      </c>
      <c r="D71" s="60">
        <f t="shared" ref="D71:D102" si="6">IF(B71&lt;admin_saving_year, fixed_exp,fixed_exp*(1-admin_saving))</f>
        <v>17500</v>
      </c>
      <c r="E71" s="60">
        <f t="shared" si="3"/>
        <v>34074.250960789839</v>
      </c>
      <c r="F71" s="62">
        <f t="shared" ref="F71:F102" si="7">(E71+F72)/(1+disc_rate)^(1/12)</f>
        <v>1767941.469080019</v>
      </c>
    </row>
    <row r="72" spans="1:6" x14ac:dyDescent="0.25">
      <c r="A72" s="2">
        <v>66</v>
      </c>
      <c r="B72" s="36">
        <f t="shared" ref="B72:B126" si="8">ROUNDUP(MAX((A72)/12,0),0)</f>
        <v>6</v>
      </c>
      <c r="C72" s="60">
        <f>'Base Price'!AG73</f>
        <v>51693.493379127991</v>
      </c>
      <c r="D72" s="60">
        <f t="shared" si="6"/>
        <v>17500</v>
      </c>
      <c r="E72" s="60">
        <f t="shared" ref="E72:E126" si="9">C72-D72</f>
        <v>34193.493379127991</v>
      </c>
      <c r="F72" s="62">
        <f t="shared" si="7"/>
        <v>1744554.2811395053</v>
      </c>
    </row>
    <row r="73" spans="1:6" x14ac:dyDescent="0.25">
      <c r="A73" s="2">
        <v>67</v>
      </c>
      <c r="B73" s="36">
        <f t="shared" si="8"/>
        <v>6</v>
      </c>
      <c r="C73" s="60">
        <f>'Base Price'!AG74</f>
        <v>51813.040245105942</v>
      </c>
      <c r="D73" s="60">
        <f t="shared" si="6"/>
        <v>17500</v>
      </c>
      <c r="E73" s="60">
        <f t="shared" si="9"/>
        <v>34313.040245105942</v>
      </c>
      <c r="F73" s="62">
        <f t="shared" si="7"/>
        <v>1720906.4771233471</v>
      </c>
    </row>
    <row r="74" spans="1:6" x14ac:dyDescent="0.25">
      <c r="A74" s="2">
        <v>68</v>
      </c>
      <c r="B74" s="36">
        <f t="shared" si="8"/>
        <v>6</v>
      </c>
      <c r="C74" s="60">
        <f>'Base Price'!AG75</f>
        <v>51932.892424929014</v>
      </c>
      <c r="D74" s="60">
        <f t="shared" si="6"/>
        <v>17500</v>
      </c>
      <c r="E74" s="60">
        <f t="shared" si="9"/>
        <v>34432.892424929014</v>
      </c>
      <c r="F74" s="62">
        <f t="shared" si="7"/>
        <v>1696996.1771808309</v>
      </c>
    </row>
    <row r="75" spans="1:6" x14ac:dyDescent="0.25">
      <c r="A75" s="2">
        <v>69</v>
      </c>
      <c r="B75" s="36">
        <f t="shared" si="8"/>
        <v>6</v>
      </c>
      <c r="C75" s="60">
        <f>'Base Price'!AG76</f>
        <v>52053.050787531611</v>
      </c>
      <c r="D75" s="60">
        <f t="shared" si="6"/>
        <v>17500</v>
      </c>
      <c r="E75" s="60">
        <f t="shared" si="9"/>
        <v>34553.050787531611</v>
      </c>
      <c r="F75" s="62">
        <f t="shared" si="7"/>
        <v>1672821.4892314926</v>
      </c>
    </row>
    <row r="76" spans="1:6" x14ac:dyDescent="0.25">
      <c r="A76" s="2">
        <v>70</v>
      </c>
      <c r="B76" s="36">
        <f t="shared" si="8"/>
        <v>6</v>
      </c>
      <c r="C76" s="60">
        <f>'Base Price'!AG77</f>
        <v>52173.516204586645</v>
      </c>
      <c r="D76" s="60">
        <f t="shared" si="6"/>
        <v>17500</v>
      </c>
      <c r="E76" s="60">
        <f t="shared" si="9"/>
        <v>34673.516204586645</v>
      </c>
      <c r="F76" s="62">
        <f t="shared" si="7"/>
        <v>1648380.5088884605</v>
      </c>
    </row>
    <row r="77" spans="1:6" x14ac:dyDescent="0.25">
      <c r="A77" s="2">
        <v>71</v>
      </c>
      <c r="B77" s="36">
        <f t="shared" si="8"/>
        <v>6</v>
      </c>
      <c r="C77" s="60">
        <f>'Base Price'!AG78</f>
        <v>52294.289550514863</v>
      </c>
      <c r="D77" s="60">
        <f t="shared" si="6"/>
        <v>17500</v>
      </c>
      <c r="E77" s="60">
        <f t="shared" si="9"/>
        <v>34794.289550514863</v>
      </c>
      <c r="F77" s="62">
        <f t="shared" si="7"/>
        <v>1623671.3193813253</v>
      </c>
    </row>
    <row r="78" spans="1:6" x14ac:dyDescent="0.25">
      <c r="A78" s="2">
        <v>72</v>
      </c>
      <c r="B78" s="36">
        <f t="shared" si="8"/>
        <v>6</v>
      </c>
      <c r="C78" s="60">
        <f>'Base Price'!AG79</f>
        <v>52415.371702494289</v>
      </c>
      <c r="D78" s="60">
        <f t="shared" si="6"/>
        <v>17500</v>
      </c>
      <c r="E78" s="60">
        <f t="shared" si="9"/>
        <v>34915.371702494289</v>
      </c>
      <c r="F78" s="62">
        <f t="shared" si="7"/>
        <v>1598691.9914785353</v>
      </c>
    </row>
    <row r="79" spans="1:6" x14ac:dyDescent="0.25">
      <c r="A79" s="2">
        <v>73</v>
      </c>
      <c r="B79" s="36">
        <f t="shared" si="8"/>
        <v>7</v>
      </c>
      <c r="C79" s="60">
        <f>'Base Price'!AG80</f>
        <v>52536.763540469685</v>
      </c>
      <c r="D79" s="60">
        <f t="shared" si="6"/>
        <v>17500</v>
      </c>
      <c r="E79" s="60">
        <f t="shared" si="9"/>
        <v>35036.763540469685</v>
      </c>
      <c r="F79" s="62">
        <f t="shared" si="7"/>
        <v>1573440.5834093124</v>
      </c>
    </row>
    <row r="80" spans="1:6" x14ac:dyDescent="0.25">
      <c r="A80" s="2">
        <v>74</v>
      </c>
      <c r="B80" s="36">
        <f t="shared" si="8"/>
        <v>7</v>
      </c>
      <c r="C80" s="60">
        <f>'Base Price'!AG81</f>
        <v>52658.465947162062</v>
      </c>
      <c r="D80" s="60">
        <f t="shared" si="6"/>
        <v>17500</v>
      </c>
      <c r="E80" s="60">
        <f t="shared" si="9"/>
        <v>35158.465947162062</v>
      </c>
      <c r="F80" s="62">
        <f t="shared" si="7"/>
        <v>1547915.1407850864</v>
      </c>
    </row>
    <row r="81" spans="1:6" x14ac:dyDescent="0.25">
      <c r="A81" s="2">
        <v>75</v>
      </c>
      <c r="B81" s="36">
        <f t="shared" si="8"/>
        <v>7</v>
      </c>
      <c r="C81" s="60">
        <f>'Base Price'!AG82</f>
        <v>52780.479808078133</v>
      </c>
      <c r="D81" s="60">
        <f t="shared" si="6"/>
        <v>17500</v>
      </c>
      <c r="E81" s="60">
        <f t="shared" si="9"/>
        <v>35280.479808078133</v>
      </c>
      <c r="F81" s="62">
        <f t="shared" si="7"/>
        <v>1522113.6965204452</v>
      </c>
    </row>
    <row r="82" spans="1:6" x14ac:dyDescent="0.25">
      <c r="A82" s="2">
        <v>76</v>
      </c>
      <c r="B82" s="36">
        <f t="shared" si="8"/>
        <v>7</v>
      </c>
      <c r="C82" s="60">
        <f>'Base Price'!AG83</f>
        <v>52902.806011519904</v>
      </c>
      <c r="D82" s="60">
        <f t="shared" si="6"/>
        <v>17500</v>
      </c>
      <c r="E82" s="60">
        <f t="shared" si="9"/>
        <v>35402.806011519904</v>
      </c>
      <c r="F82" s="62">
        <f t="shared" si="7"/>
        <v>1496034.2707535985</v>
      </c>
    </row>
    <row r="83" spans="1:6" x14ac:dyDescent="0.25">
      <c r="A83" s="2">
        <v>77</v>
      </c>
      <c r="B83" s="36">
        <f t="shared" si="8"/>
        <v>7</v>
      </c>
      <c r="C83" s="60">
        <f>'Base Price'!AG84</f>
        <v>53025.445448594313</v>
      </c>
      <c r="D83" s="60">
        <f t="shared" si="6"/>
        <v>17500</v>
      </c>
      <c r="E83" s="60">
        <f t="shared" si="9"/>
        <v>35525.445448594313</v>
      </c>
      <c r="F83" s="62">
        <f t="shared" si="7"/>
        <v>1469674.8707663496</v>
      </c>
    </row>
    <row r="84" spans="1:6" x14ac:dyDescent="0.25">
      <c r="A84" s="2">
        <v>78</v>
      </c>
      <c r="B84" s="36">
        <f t="shared" si="8"/>
        <v>7</v>
      </c>
      <c r="C84" s="60">
        <f>'Base Price'!AG85</f>
        <v>53148.399013222785</v>
      </c>
      <c r="D84" s="60">
        <f t="shared" si="6"/>
        <v>17500</v>
      </c>
      <c r="E84" s="60">
        <f t="shared" si="9"/>
        <v>35648.399013222785</v>
      </c>
      <c r="F84" s="62">
        <f t="shared" si="7"/>
        <v>1443033.4909035743</v>
      </c>
    </row>
    <row r="85" spans="1:6" x14ac:dyDescent="0.25">
      <c r="A85" s="2">
        <v>79</v>
      </c>
      <c r="B85" s="36">
        <f t="shared" si="8"/>
        <v>7</v>
      </c>
      <c r="C85" s="60">
        <f>'Base Price'!AG86</f>
        <v>53271.667602150941</v>
      </c>
      <c r="D85" s="60">
        <f t="shared" si="6"/>
        <v>17500</v>
      </c>
      <c r="E85" s="60">
        <f t="shared" si="9"/>
        <v>35771.667602150941</v>
      </c>
      <c r="F85" s="62">
        <f t="shared" si="7"/>
        <v>1416108.1124922044</v>
      </c>
    </row>
    <row r="86" spans="1:6" x14ac:dyDescent="0.25">
      <c r="A86" s="2">
        <v>80</v>
      </c>
      <c r="B86" s="36">
        <f t="shared" si="8"/>
        <v>7</v>
      </c>
      <c r="C86" s="60">
        <f>'Base Price'!AG87</f>
        <v>53395.252114958254</v>
      </c>
      <c r="D86" s="60">
        <f t="shared" si="6"/>
        <v>17500</v>
      </c>
      <c r="E86" s="60">
        <f t="shared" si="9"/>
        <v>35895.252114958254</v>
      </c>
      <c r="F86" s="62">
        <f t="shared" si="7"/>
        <v>1388896.7037597115</v>
      </c>
    </row>
    <row r="87" spans="1:6" x14ac:dyDescent="0.25">
      <c r="A87" s="2">
        <v>81</v>
      </c>
      <c r="B87" s="36">
        <f t="shared" si="8"/>
        <v>7</v>
      </c>
      <c r="C87" s="60">
        <f>'Base Price'!AG88</f>
        <v>53519.153454067833</v>
      </c>
      <c r="D87" s="60">
        <f t="shared" si="6"/>
        <v>17500</v>
      </c>
      <c r="E87" s="60">
        <f t="shared" si="9"/>
        <v>36019.153454067833</v>
      </c>
      <c r="F87" s="62">
        <f t="shared" si="7"/>
        <v>1361397.2197520863</v>
      </c>
    </row>
    <row r="88" spans="1:6" x14ac:dyDescent="0.25">
      <c r="A88" s="2">
        <v>82</v>
      </c>
      <c r="B88" s="36">
        <f t="shared" si="8"/>
        <v>7</v>
      </c>
      <c r="C88" s="60">
        <f>'Base Price'!AG89</f>
        <v>53643.372524756152</v>
      </c>
      <c r="D88" s="60">
        <f t="shared" si="6"/>
        <v>17500</v>
      </c>
      <c r="E88" s="60">
        <f t="shared" si="9"/>
        <v>36143.372524756152</v>
      </c>
      <c r="F88" s="62">
        <f t="shared" si="7"/>
        <v>1333607.6022513157</v>
      </c>
    </row>
    <row r="89" spans="1:6" x14ac:dyDescent="0.25">
      <c r="A89" s="2">
        <v>83</v>
      </c>
      <c r="B89" s="36">
        <f t="shared" si="8"/>
        <v>7</v>
      </c>
      <c r="C89" s="60">
        <f>'Base Price'!AG90</f>
        <v>53767.910235162868</v>
      </c>
      <c r="D89" s="60">
        <f t="shared" si="6"/>
        <v>17500</v>
      </c>
      <c r="E89" s="60">
        <f t="shared" si="9"/>
        <v>36267.910235162868</v>
      </c>
      <c r="F89" s="62">
        <f t="shared" si="7"/>
        <v>1305525.7796923486</v>
      </c>
    </row>
    <row r="90" spans="1:6" x14ac:dyDescent="0.25">
      <c r="A90" s="2">
        <v>84</v>
      </c>
      <c r="B90" s="36">
        <f t="shared" si="8"/>
        <v>7</v>
      </c>
      <c r="C90" s="60">
        <f>'Base Price'!AG91</f>
        <v>53892.767496300658</v>
      </c>
      <c r="D90" s="60">
        <f t="shared" si="6"/>
        <v>17500</v>
      </c>
      <c r="E90" s="60">
        <f t="shared" si="9"/>
        <v>36392.767496300658</v>
      </c>
      <c r="F90" s="62">
        <f t="shared" si="7"/>
        <v>1277149.6670795514</v>
      </c>
    </row>
    <row r="91" spans="1:6" x14ac:dyDescent="0.25">
      <c r="A91" s="2">
        <v>85</v>
      </c>
      <c r="B91" s="36">
        <f t="shared" si="8"/>
        <v>8</v>
      </c>
      <c r="C91" s="60">
        <f>'Base Price'!AG92</f>
        <v>54017.945222065115</v>
      </c>
      <c r="D91" s="60">
        <f t="shared" si="6"/>
        <v>17500</v>
      </c>
      <c r="E91" s="60">
        <f t="shared" si="9"/>
        <v>36517.945222065115</v>
      </c>
      <c r="F91" s="62">
        <f t="shared" si="7"/>
        <v>1248477.1659026477</v>
      </c>
    </row>
    <row r="92" spans="1:6" x14ac:dyDescent="0.25">
      <c r="A92" s="2">
        <v>86</v>
      </c>
      <c r="B92" s="36">
        <f t="shared" si="8"/>
        <v>8</v>
      </c>
      <c r="C92" s="60">
        <f>'Base Price'!AG93</f>
        <v>54143.444329244601</v>
      </c>
      <c r="D92" s="60">
        <f t="shared" si="6"/>
        <v>17500</v>
      </c>
      <c r="E92" s="60">
        <f t="shared" si="9"/>
        <v>36643.444329244601</v>
      </c>
      <c r="F92" s="62">
        <f t="shared" si="7"/>
        <v>1219506.1640521414</v>
      </c>
    </row>
    <row r="93" spans="1:6" x14ac:dyDescent="0.25">
      <c r="A93" s="2">
        <v>87</v>
      </c>
      <c r="B93" s="36">
        <f t="shared" si="8"/>
        <v>8</v>
      </c>
      <c r="C93" s="60">
        <f>'Base Price'!AG94</f>
        <v>54269.265737530266</v>
      </c>
      <c r="D93" s="60">
        <f t="shared" si="6"/>
        <v>17500</v>
      </c>
      <c r="E93" s="60">
        <f t="shared" si="9"/>
        <v>36769.265737530266</v>
      </c>
      <c r="F93" s="62">
        <f t="shared" si="7"/>
        <v>1190234.5357342167</v>
      </c>
    </row>
    <row r="94" spans="1:6" x14ac:dyDescent="0.25">
      <c r="A94" s="2">
        <v>88</v>
      </c>
      <c r="B94" s="36">
        <f t="shared" si="8"/>
        <v>8</v>
      </c>
      <c r="C94" s="60">
        <f>'Base Price'!AG95</f>
        <v>54395.410369525984</v>
      </c>
      <c r="D94" s="60">
        <f t="shared" si="6"/>
        <v>17500</v>
      </c>
      <c r="E94" s="60">
        <f t="shared" si="9"/>
        <v>36895.410369525984</v>
      </c>
      <c r="F94" s="62">
        <f t="shared" si="7"/>
        <v>1160660.1413851152</v>
      </c>
    </row>
    <row r="95" spans="1:6" x14ac:dyDescent="0.25">
      <c r="A95" s="2">
        <v>89</v>
      </c>
      <c r="B95" s="36">
        <f t="shared" si="8"/>
        <v>8</v>
      </c>
      <c r="C95" s="60">
        <f>'Base Price'!AG96</f>
        <v>54521.87915075841</v>
      </c>
      <c r="D95" s="60">
        <f t="shared" si="6"/>
        <v>17500</v>
      </c>
      <c r="E95" s="60">
        <f t="shared" si="9"/>
        <v>37021.87915075841</v>
      </c>
      <c r="F95" s="62">
        <f t="shared" si="7"/>
        <v>1130780.8275849854</v>
      </c>
    </row>
    <row r="96" spans="1:6" x14ac:dyDescent="0.25">
      <c r="A96" s="2">
        <v>90</v>
      </c>
      <c r="B96" s="36">
        <f t="shared" si="8"/>
        <v>8</v>
      </c>
      <c r="C96" s="60">
        <f>'Base Price'!AG97</f>
        <v>54648.673009686994</v>
      </c>
      <c r="D96" s="60">
        <f t="shared" si="6"/>
        <v>17500</v>
      </c>
      <c r="E96" s="60">
        <f t="shared" si="9"/>
        <v>37148.673009686994</v>
      </c>
      <c r="F96" s="62">
        <f t="shared" si="7"/>
        <v>1100594.4269711997</v>
      </c>
    </row>
    <row r="97" spans="1:6" x14ac:dyDescent="0.25">
      <c r="A97" s="2">
        <v>91</v>
      </c>
      <c r="B97" s="36">
        <f t="shared" si="8"/>
        <v>8</v>
      </c>
      <c r="C97" s="60">
        <f>'Base Price'!AG98</f>
        <v>54775.792877714106</v>
      </c>
      <c r="D97" s="60">
        <f t="shared" si="6"/>
        <v>17500</v>
      </c>
      <c r="E97" s="60">
        <f t="shared" si="9"/>
        <v>37275.792877714106</v>
      </c>
      <c r="F97" s="62">
        <f t="shared" si="7"/>
        <v>1070098.7581511403</v>
      </c>
    </row>
    <row r="98" spans="1:6" x14ac:dyDescent="0.25">
      <c r="A98" s="2">
        <v>92</v>
      </c>
      <c r="B98" s="36">
        <f t="shared" si="8"/>
        <v>8</v>
      </c>
      <c r="C98" s="60">
        <f>'Base Price'!AG99</f>
        <v>54903.239689195172</v>
      </c>
      <c r="D98" s="60">
        <f t="shared" si="6"/>
        <v>17500</v>
      </c>
      <c r="E98" s="60">
        <f t="shared" si="9"/>
        <v>37403.239689195172</v>
      </c>
      <c r="F98" s="62">
        <f t="shared" si="7"/>
        <v>1039291.625614445</v>
      </c>
    </row>
    <row r="99" spans="1:6" x14ac:dyDescent="0.25">
      <c r="A99" s="2">
        <v>93</v>
      </c>
      <c r="B99" s="36">
        <f t="shared" si="8"/>
        <v>8</v>
      </c>
      <c r="C99" s="60">
        <f>'Base Price'!AG100</f>
        <v>55031.014381448818</v>
      </c>
      <c r="D99" s="60">
        <f t="shared" si="6"/>
        <v>17500</v>
      </c>
      <c r="E99" s="60">
        <f t="shared" si="9"/>
        <v>37531.014381448818</v>
      </c>
      <c r="F99" s="62">
        <f t="shared" si="7"/>
        <v>1008170.8196447137</v>
      </c>
    </row>
    <row r="100" spans="1:6" x14ac:dyDescent="0.25">
      <c r="A100" s="2">
        <v>94</v>
      </c>
      <c r="B100" s="36">
        <f t="shared" si="8"/>
        <v>8</v>
      </c>
      <c r="C100" s="60">
        <f>'Base Price'!AG101</f>
        <v>55159.117894767085</v>
      </c>
      <c r="D100" s="60">
        <f t="shared" si="6"/>
        <v>17500</v>
      </c>
      <c r="E100" s="60">
        <f t="shared" si="9"/>
        <v>37659.117894767085</v>
      </c>
      <c r="F100" s="62">
        <f t="shared" si="7"/>
        <v>976734.11623067094</v>
      </c>
    </row>
    <row r="101" spans="1:6" x14ac:dyDescent="0.25">
      <c r="A101" s="2">
        <v>95</v>
      </c>
      <c r="B101" s="36">
        <f t="shared" si="8"/>
        <v>8</v>
      </c>
      <c r="C101" s="60">
        <f>'Base Price'!AG102</f>
        <v>55287.551172425679</v>
      </c>
      <c r="D101" s="60">
        <f t="shared" si="6"/>
        <v>17500</v>
      </c>
      <c r="E101" s="60">
        <f t="shared" si="9"/>
        <v>37787.551172425679</v>
      </c>
      <c r="F101" s="62">
        <f t="shared" si="7"/>
        <v>944979.27697678143</v>
      </c>
    </row>
    <row r="102" spans="1:6" x14ac:dyDescent="0.25">
      <c r="A102" s="2">
        <v>96</v>
      </c>
      <c r="B102" s="36">
        <f t="shared" si="8"/>
        <v>8</v>
      </c>
      <c r="C102" s="60">
        <f>'Base Price'!AG103</f>
        <v>55416.315160694256</v>
      </c>
      <c r="D102" s="60">
        <f t="shared" si="6"/>
        <v>17500</v>
      </c>
      <c r="E102" s="60">
        <f t="shared" si="9"/>
        <v>37916.315160694256</v>
      </c>
      <c r="F102" s="62">
        <f t="shared" si="7"/>
        <v>912904.04901331419</v>
      </c>
    </row>
    <row r="103" spans="1:6" x14ac:dyDescent="0.25">
      <c r="A103" s="2">
        <v>97</v>
      </c>
      <c r="B103" s="36">
        <f t="shared" si="8"/>
        <v>9</v>
      </c>
      <c r="C103" s="60">
        <f>'Base Price'!AG104</f>
        <v>55545.410808846682</v>
      </c>
      <c r="D103" s="60">
        <f t="shared" ref="D103:D126" si="10">IF(B103&lt;admin_saving_year, fixed_exp,fixed_exp*(1-admin_saving))</f>
        <v>17500</v>
      </c>
      <c r="E103" s="60">
        <f t="shared" si="9"/>
        <v>38045.410808846682</v>
      </c>
      <c r="F103" s="62">
        <f t="shared" ref="F103:F126" si="11">(E103+F104)/(1+disc_rate)^(1/12)</f>
        <v>880506.16490585345</v>
      </c>
    </row>
    <row r="104" spans="1:6" x14ac:dyDescent="0.25">
      <c r="A104" s="2">
        <v>98</v>
      </c>
      <c r="B104" s="36">
        <f t="shared" si="8"/>
        <v>9</v>
      </c>
      <c r="C104" s="60">
        <f>'Base Price'!AG105</f>
        <v>55674.839069171503</v>
      </c>
      <c r="D104" s="60">
        <f t="shared" si="10"/>
        <v>17500</v>
      </c>
      <c r="E104" s="60">
        <f t="shared" si="9"/>
        <v>38174.839069171503</v>
      </c>
      <c r="F104" s="62">
        <f t="shared" si="11"/>
        <v>847783.34256425232</v>
      </c>
    </row>
    <row r="105" spans="1:6" x14ac:dyDescent="0.25">
      <c r="A105" s="2">
        <v>99</v>
      </c>
      <c r="B105" s="36">
        <f t="shared" si="8"/>
        <v>9</v>
      </c>
      <c r="C105" s="60">
        <f>'Base Price'!AG106</f>
        <v>55804.600896982221</v>
      </c>
      <c r="D105" s="60">
        <f t="shared" si="10"/>
        <v>17500</v>
      </c>
      <c r="E105" s="60">
        <f t="shared" si="9"/>
        <v>38304.600896982221</v>
      </c>
      <c r="F105" s="62">
        <f t="shared" si="11"/>
        <v>814733.28515102516</v>
      </c>
    </row>
    <row r="106" spans="1:6" x14ac:dyDescent="0.25">
      <c r="A106" s="2">
        <v>100</v>
      </c>
      <c r="B106" s="36">
        <f t="shared" si="8"/>
        <v>9</v>
      </c>
      <c r="C106" s="60">
        <f>'Base Price'!AG107</f>
        <v>55934.697250627782</v>
      </c>
      <c r="D106" s="60">
        <f t="shared" si="10"/>
        <v>17500</v>
      </c>
      <c r="E106" s="60">
        <f t="shared" si="9"/>
        <v>38434.697250627782</v>
      </c>
      <c r="F106" s="62">
        <f t="shared" si="11"/>
        <v>781353.68098917603</v>
      </c>
    </row>
    <row r="107" spans="1:6" x14ac:dyDescent="0.25">
      <c r="A107" s="2">
        <v>101</v>
      </c>
      <c r="B107" s="36">
        <f t="shared" si="8"/>
        <v>9</v>
      </c>
      <c r="C107" s="60">
        <f>'Base Price'!AG108</f>
        <v>56065.12909150307</v>
      </c>
      <c r="D107" s="60">
        <f t="shared" si="10"/>
        <v>17500</v>
      </c>
      <c r="E107" s="60">
        <f t="shared" si="9"/>
        <v>38565.12909150307</v>
      </c>
      <c r="F107" s="62">
        <f t="shared" si="11"/>
        <v>747642.20346946002</v>
      </c>
    </row>
    <row r="108" spans="1:6" x14ac:dyDescent="0.25">
      <c r="A108" s="2">
        <v>102</v>
      </c>
      <c r="B108" s="36">
        <f t="shared" si="8"/>
        <v>9</v>
      </c>
      <c r="C108" s="60">
        <f>'Base Price'!AG109</f>
        <v>56195.897384059339</v>
      </c>
      <c r="D108" s="60">
        <f t="shared" si="10"/>
        <v>17500</v>
      </c>
      <c r="E108" s="60">
        <f t="shared" si="9"/>
        <v>38695.897384059339</v>
      </c>
      <c r="F108" s="62">
        <f t="shared" si="11"/>
        <v>713596.51095707284</v>
      </c>
    </row>
    <row r="109" spans="1:6" x14ac:dyDescent="0.25">
      <c r="A109" s="2">
        <v>103</v>
      </c>
      <c r="B109" s="36">
        <f t="shared" si="8"/>
        <v>9</v>
      </c>
      <c r="C109" s="60">
        <f>'Base Price'!AG110</f>
        <v>56327.003095814835</v>
      </c>
      <c r="D109" s="60">
        <f t="shared" si="10"/>
        <v>17500</v>
      </c>
      <c r="E109" s="60">
        <f t="shared" si="9"/>
        <v>38827.003095814835</v>
      </c>
      <c r="F109" s="62">
        <f t="shared" si="11"/>
        <v>679214.24669776601</v>
      </c>
    </row>
    <row r="110" spans="1:6" x14ac:dyDescent="0.25">
      <c r="A110" s="2">
        <v>104</v>
      </c>
      <c r="B110" s="36">
        <f t="shared" si="8"/>
        <v>9</v>
      </c>
      <c r="C110" s="60">
        <f>'Base Price'!AG111</f>
        <v>56458.447197365334</v>
      </c>
      <c r="D110" s="60">
        <f t="shared" si="10"/>
        <v>17500</v>
      </c>
      <c r="E110" s="60">
        <f t="shared" si="9"/>
        <v>38958.447197365334</v>
      </c>
      <c r="F110" s="62">
        <f t="shared" si="11"/>
        <v>644493.0387233845</v>
      </c>
    </row>
    <row r="111" spans="1:6" x14ac:dyDescent="0.25">
      <c r="A111" s="2">
        <v>105</v>
      </c>
      <c r="B111" s="36">
        <f t="shared" si="8"/>
        <v>9</v>
      </c>
      <c r="C111" s="60">
        <f>'Base Price'!AG112</f>
        <v>56590.230662394773</v>
      </c>
      <c r="D111" s="60">
        <f t="shared" si="10"/>
        <v>17500</v>
      </c>
      <c r="E111" s="60">
        <f t="shared" si="9"/>
        <v>39090.230662394773</v>
      </c>
      <c r="F111" s="62">
        <f t="shared" si="11"/>
        <v>609430.49975682166</v>
      </c>
    </row>
    <row r="112" spans="1:6" x14ac:dyDescent="0.25">
      <c r="A112" s="2">
        <v>106</v>
      </c>
      <c r="B112" s="36">
        <f t="shared" si="8"/>
        <v>9</v>
      </c>
      <c r="C112" s="60">
        <f>'Base Price'!AG113</f>
        <v>56722.354467685953</v>
      </c>
      <c r="D112" s="60">
        <f t="shared" si="10"/>
        <v>17500</v>
      </c>
      <c r="E112" s="60">
        <f t="shared" si="9"/>
        <v>39222.354467685953</v>
      </c>
      <c r="F112" s="62">
        <f t="shared" si="11"/>
        <v>574024.22711639048</v>
      </c>
    </row>
    <row r="113" spans="1:6" x14ac:dyDescent="0.25">
      <c r="A113" s="2">
        <v>107</v>
      </c>
      <c r="B113" s="36">
        <f t="shared" si="8"/>
        <v>9</v>
      </c>
      <c r="C113" s="60">
        <f>'Base Price'!AG114</f>
        <v>56854.819593131171</v>
      </c>
      <c r="D113" s="60">
        <f t="shared" si="10"/>
        <v>17500</v>
      </c>
      <c r="E113" s="60">
        <f t="shared" si="9"/>
        <v>39354.819593131171</v>
      </c>
      <c r="F113" s="62">
        <f t="shared" si="11"/>
        <v>538271.80261960474</v>
      </c>
    </row>
    <row r="114" spans="1:6" x14ac:dyDescent="0.25">
      <c r="A114" s="2">
        <v>108</v>
      </c>
      <c r="B114" s="36">
        <f t="shared" si="8"/>
        <v>9</v>
      </c>
      <c r="C114" s="60">
        <f>'Base Price'!AG115</f>
        <v>56987.627021743028</v>
      </c>
      <c r="D114" s="60">
        <f t="shared" si="10"/>
        <v>17500</v>
      </c>
      <c r="E114" s="60">
        <f t="shared" si="9"/>
        <v>39487.627021743028</v>
      </c>
      <c r="F114" s="62">
        <f t="shared" si="11"/>
        <v>502170.79248636862</v>
      </c>
    </row>
    <row r="115" spans="1:6" x14ac:dyDescent="0.25">
      <c r="A115" s="2">
        <v>109</v>
      </c>
      <c r="B115" s="36">
        <f t="shared" si="8"/>
        <v>10</v>
      </c>
      <c r="C115" s="60">
        <f>'Base Price'!AG116</f>
        <v>57120.777739665165</v>
      </c>
      <c r="D115" s="60">
        <f t="shared" si="10"/>
        <v>17500</v>
      </c>
      <c r="E115" s="60">
        <f t="shared" si="9"/>
        <v>39620.777739665165</v>
      </c>
      <c r="F115" s="62">
        <f t="shared" si="11"/>
        <v>465718.74724157009</v>
      </c>
    </row>
    <row r="116" spans="1:6" x14ac:dyDescent="0.25">
      <c r="A116" s="2">
        <v>110</v>
      </c>
      <c r="B116" s="36">
        <f t="shared" si="8"/>
        <v>10</v>
      </c>
      <c r="C116" s="60">
        <f>'Base Price'!AG117</f>
        <v>57254.272736183077</v>
      </c>
      <c r="D116" s="60">
        <f t="shared" si="10"/>
        <v>17500</v>
      </c>
      <c r="E116" s="60">
        <f t="shared" si="9"/>
        <v>39754.272736183077</v>
      </c>
      <c r="F116" s="62">
        <f t="shared" si="11"/>
        <v>428913.20161707478</v>
      </c>
    </row>
    <row r="117" spans="1:6" x14ac:dyDescent="0.25">
      <c r="A117" s="2">
        <v>111</v>
      </c>
      <c r="B117" s="36">
        <f t="shared" si="8"/>
        <v>10</v>
      </c>
      <c r="C117" s="60">
        <f>'Base Price'!AG118</f>
        <v>57388.113003735038</v>
      </c>
      <c r="D117" s="60">
        <f t="shared" si="10"/>
        <v>17500</v>
      </c>
      <c r="E117" s="60">
        <f t="shared" si="9"/>
        <v>39888.113003735038</v>
      </c>
      <c r="F117" s="62">
        <f t="shared" si="11"/>
        <v>391751.6744531166</v>
      </c>
    </row>
    <row r="118" spans="1:6" x14ac:dyDescent="0.25">
      <c r="A118" s="2">
        <v>112</v>
      </c>
      <c r="B118" s="36">
        <f t="shared" si="8"/>
        <v>10</v>
      </c>
      <c r="C118" s="60">
        <f>'Base Price'!AG119</f>
        <v>57522.299537922925</v>
      </c>
      <c r="D118" s="60">
        <f t="shared" si="10"/>
        <v>17500</v>
      </c>
      <c r="E118" s="60">
        <f t="shared" si="9"/>
        <v>40022.299537922925</v>
      </c>
      <c r="F118" s="62">
        <f t="shared" si="11"/>
        <v>354231.66859908134</v>
      </c>
    </row>
    <row r="119" spans="1:6" x14ac:dyDescent="0.25">
      <c r="A119" s="2">
        <v>113</v>
      </c>
      <c r="B119" s="36">
        <f t="shared" si="8"/>
        <v>10</v>
      </c>
      <c r="C119" s="60">
        <f>'Base Price'!AG120</f>
        <v>57656.833337523189</v>
      </c>
      <c r="D119" s="60">
        <f t="shared" si="10"/>
        <v>17500</v>
      </c>
      <c r="E119" s="60">
        <f t="shared" si="9"/>
        <v>40156.833337523189</v>
      </c>
      <c r="F119" s="62">
        <f t="shared" si="11"/>
        <v>316350.67081367958</v>
      </c>
    </row>
    <row r="120" spans="1:6" x14ac:dyDescent="0.25">
      <c r="A120" s="2">
        <v>114</v>
      </c>
      <c r="B120" s="36">
        <f t="shared" si="8"/>
        <v>10</v>
      </c>
      <c r="C120" s="60">
        <f>'Base Price'!AG121</f>
        <v>57791.715404497823</v>
      </c>
      <c r="D120" s="60">
        <f t="shared" si="10"/>
        <v>17500</v>
      </c>
      <c r="E120" s="60">
        <f t="shared" si="9"/>
        <v>40291.715404497823</v>
      </c>
      <c r="F120" s="62">
        <f t="shared" si="11"/>
        <v>278106.15166450542</v>
      </c>
    </row>
    <row r="121" spans="1:6" x14ac:dyDescent="0.25">
      <c r="A121" s="2">
        <v>115</v>
      </c>
      <c r="B121" s="36">
        <f t="shared" si="8"/>
        <v>10</v>
      </c>
      <c r="C121" s="60">
        <f>'Base Price'!AG122</f>
        <v>57926.946744005429</v>
      </c>
      <c r="D121" s="60">
        <f t="shared" si="10"/>
        <v>17500</v>
      </c>
      <c r="E121" s="60">
        <f t="shared" si="9"/>
        <v>40426.946744005429</v>
      </c>
      <c r="F121" s="62">
        <f t="shared" si="11"/>
        <v>239495.56542697691</v>
      </c>
    </row>
    <row r="122" spans="1:6" x14ac:dyDescent="0.25">
      <c r="A122" s="2">
        <v>116</v>
      </c>
      <c r="B122" s="36">
        <f t="shared" si="8"/>
        <v>10</v>
      </c>
      <c r="C122" s="60">
        <f>'Base Price'!AG123</f>
        <v>58062.528364412181</v>
      </c>
      <c r="D122" s="60">
        <f t="shared" si="10"/>
        <v>17500</v>
      </c>
      <c r="E122" s="60">
        <f t="shared" si="9"/>
        <v>40562.528364412181</v>
      </c>
      <c r="F122" s="62">
        <f t="shared" si="11"/>
        <v>200516.34998265453</v>
      </c>
    </row>
    <row r="123" spans="1:6" x14ac:dyDescent="0.25">
      <c r="A123" s="2">
        <v>117</v>
      </c>
      <c r="B123" s="36">
        <f t="shared" si="8"/>
        <v>10</v>
      </c>
      <c r="C123" s="60">
        <f>'Base Price'!AG124</f>
        <v>58198.461277303068</v>
      </c>
      <c r="D123" s="60">
        <f t="shared" si="10"/>
        <v>17500</v>
      </c>
      <c r="E123" s="60">
        <f t="shared" si="9"/>
        <v>40698.461277303068</v>
      </c>
      <c r="F123" s="62">
        <f t="shared" si="11"/>
        <v>161165.92671693405</v>
      </c>
    </row>
    <row r="124" spans="1:6" x14ac:dyDescent="0.25">
      <c r="A124" s="2">
        <v>118</v>
      </c>
      <c r="B124" s="36">
        <f t="shared" si="8"/>
        <v>10</v>
      </c>
      <c r="C124" s="60">
        <f>'Base Price'!AG125</f>
        <v>58334.746497492859</v>
      </c>
      <c r="D124" s="60">
        <f t="shared" si="10"/>
        <v>17500</v>
      </c>
      <c r="E124" s="60">
        <f t="shared" si="9"/>
        <v>40834.746497492859</v>
      </c>
      <c r="F124" s="62">
        <f t="shared" si="11"/>
        <v>121441.70041610977</v>
      </c>
    </row>
    <row r="125" spans="1:6" x14ac:dyDescent="0.25">
      <c r="A125" s="2">
        <v>119</v>
      </c>
      <c r="B125" s="36">
        <f t="shared" si="8"/>
        <v>10</v>
      </c>
      <c r="C125" s="60">
        <f>'Base Price'!AG126</f>
        <v>58471.385043037444</v>
      </c>
      <c r="D125" s="60">
        <f t="shared" si="10"/>
        <v>17500</v>
      </c>
      <c r="E125" s="60">
        <f t="shared" si="9"/>
        <v>40971.385043037444</v>
      </c>
      <c r="F125" s="62">
        <f t="shared" si="11"/>
        <v>81341.059163804588</v>
      </c>
    </row>
    <row r="126" spans="1:6" ht="15.75" thickBot="1" x14ac:dyDescent="0.3">
      <c r="A126" s="3">
        <v>120</v>
      </c>
      <c r="B126" s="42">
        <f t="shared" si="8"/>
        <v>10</v>
      </c>
      <c r="C126" s="72">
        <f>'Base Price'!AG127</f>
        <v>58608.377935244964</v>
      </c>
      <c r="D126" s="72">
        <f t="shared" si="10"/>
        <v>17500</v>
      </c>
      <c r="E126" s="72">
        <f t="shared" si="9"/>
        <v>41108.377935244964</v>
      </c>
      <c r="F126" s="73">
        <f t="shared" si="11"/>
        <v>40861.374236762458</v>
      </c>
    </row>
  </sheetData>
  <phoneticPr fontId="0" type="noConversion"/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27"/>
  <sheetViews>
    <sheetView zoomScaleNormal="100" workbookViewId="0">
      <selection activeCell="F1" sqref="F1"/>
    </sheetView>
  </sheetViews>
  <sheetFormatPr defaultColWidth="9.140625" defaultRowHeight="15" x14ac:dyDescent="0.25"/>
  <cols>
    <col min="1" max="2" width="8.85546875" customWidth="1"/>
    <col min="3" max="32" width="14.7109375" customWidth="1"/>
    <col min="33" max="34" width="11.28515625" bestFit="1" customWidth="1"/>
    <col min="35" max="35" width="15.28515625" customWidth="1"/>
    <col min="36" max="36" width="12.28515625" bestFit="1" customWidth="1"/>
    <col min="37" max="37" width="13.140625" bestFit="1" customWidth="1"/>
    <col min="38" max="38" width="14" bestFit="1" customWidth="1"/>
    <col min="39" max="16384" width="9.140625" style="10"/>
  </cols>
  <sheetData>
    <row r="1" spans="1:38" x14ac:dyDescent="0.25">
      <c r="A1" s="1" t="s">
        <v>28</v>
      </c>
      <c r="B1" s="1"/>
    </row>
    <row r="3" spans="1:38" x14ac:dyDescent="0.25">
      <c r="AK3" s="9" t="s">
        <v>30</v>
      </c>
      <c r="AL3" s="88">
        <f>AL8</f>
        <v>1093645.6256561519</v>
      </c>
    </row>
    <row r="4" spans="1:38" x14ac:dyDescent="0.25">
      <c r="AK4" s="39" t="s">
        <v>44</v>
      </c>
      <c r="AL4" s="89">
        <f>AL3-Base_Price</f>
        <v>-216028.12127080071</v>
      </c>
    </row>
    <row r="5" spans="1:38" ht="15.75" thickBot="1" x14ac:dyDescent="0.3"/>
    <row r="6" spans="1:38" ht="15.75" customHeight="1" thickBot="1" x14ac:dyDescent="0.3">
      <c r="A6" s="23"/>
      <c r="B6" s="25"/>
      <c r="C6" s="90">
        <v>1</v>
      </c>
      <c r="D6" s="91"/>
      <c r="E6" s="91"/>
      <c r="F6" s="91"/>
      <c r="G6" s="91"/>
      <c r="H6" s="91"/>
      <c r="I6" s="90">
        <v>2</v>
      </c>
      <c r="J6" s="91"/>
      <c r="K6" s="91"/>
      <c r="L6" s="91"/>
      <c r="M6" s="91"/>
      <c r="N6" s="91"/>
      <c r="O6" s="90">
        <v>3</v>
      </c>
      <c r="P6" s="91"/>
      <c r="Q6" s="91"/>
      <c r="R6" s="91"/>
      <c r="S6" s="91"/>
      <c r="T6" s="91"/>
      <c r="U6" s="90">
        <v>4</v>
      </c>
      <c r="V6" s="91"/>
      <c r="W6" s="91"/>
      <c r="X6" s="91"/>
      <c r="Y6" s="91"/>
      <c r="Z6" s="91"/>
      <c r="AA6" s="90">
        <v>5</v>
      </c>
      <c r="AB6" s="91"/>
      <c r="AC6" s="91"/>
      <c r="AD6" s="91"/>
      <c r="AE6" s="91"/>
      <c r="AF6" s="91"/>
      <c r="AG6" s="23"/>
      <c r="AH6" s="24"/>
      <c r="AI6" s="24"/>
      <c r="AJ6" s="4"/>
      <c r="AK6" s="4"/>
      <c r="AL6" s="5"/>
    </row>
    <row r="7" spans="1:38" ht="45.75" thickBot="1" x14ac:dyDescent="0.3">
      <c r="A7" s="12" t="s">
        <v>4</v>
      </c>
      <c r="B7" s="35" t="s">
        <v>0</v>
      </c>
      <c r="C7" s="6" t="s">
        <v>34</v>
      </c>
      <c r="D7" s="7" t="s">
        <v>35</v>
      </c>
      <c r="E7" s="7" t="s">
        <v>29</v>
      </c>
      <c r="F7" s="7" t="s">
        <v>36</v>
      </c>
      <c r="G7" s="7" t="s">
        <v>37</v>
      </c>
      <c r="H7" s="7" t="s">
        <v>27</v>
      </c>
      <c r="I7" s="6" t="s">
        <v>34</v>
      </c>
      <c r="J7" s="7" t="s">
        <v>35</v>
      </c>
      <c r="K7" s="7" t="s">
        <v>29</v>
      </c>
      <c r="L7" s="7" t="s">
        <v>36</v>
      </c>
      <c r="M7" s="7" t="s">
        <v>37</v>
      </c>
      <c r="N7" s="7" t="s">
        <v>27</v>
      </c>
      <c r="O7" s="6" t="s">
        <v>34</v>
      </c>
      <c r="P7" s="7" t="s">
        <v>35</v>
      </c>
      <c r="Q7" s="7" t="s">
        <v>29</v>
      </c>
      <c r="R7" s="7" t="s">
        <v>36</v>
      </c>
      <c r="S7" s="7" t="s">
        <v>37</v>
      </c>
      <c r="T7" s="7" t="s">
        <v>27</v>
      </c>
      <c r="U7" s="6" t="s">
        <v>34</v>
      </c>
      <c r="V7" s="7" t="s">
        <v>35</v>
      </c>
      <c r="W7" s="7" t="s">
        <v>29</v>
      </c>
      <c r="X7" s="7" t="s">
        <v>36</v>
      </c>
      <c r="Y7" s="7" t="s">
        <v>37</v>
      </c>
      <c r="Z7" s="7" t="s">
        <v>27</v>
      </c>
      <c r="AA7" s="6" t="s">
        <v>34</v>
      </c>
      <c r="AB7" s="7" t="s">
        <v>35</v>
      </c>
      <c r="AC7" s="7" t="s">
        <v>29</v>
      </c>
      <c r="AD7" s="7" t="s">
        <v>36</v>
      </c>
      <c r="AE7" s="7" t="s">
        <v>37</v>
      </c>
      <c r="AF7" s="7" t="s">
        <v>27</v>
      </c>
      <c r="AG7" s="14" t="s">
        <v>42</v>
      </c>
      <c r="AH7" s="13" t="s">
        <v>7</v>
      </c>
      <c r="AI7" s="13" t="s">
        <v>39</v>
      </c>
      <c r="AJ7" s="13" t="s">
        <v>38</v>
      </c>
      <c r="AK7" s="13" t="s">
        <v>2</v>
      </c>
      <c r="AL7" s="26" t="s">
        <v>43</v>
      </c>
    </row>
    <row r="8" spans="1:38" x14ac:dyDescent="0.25">
      <c r="A8" s="40">
        <v>1</v>
      </c>
      <c r="B8" s="41">
        <f>ROUNDUP(MAX((A8)/12,0),0)</f>
        <v>1</v>
      </c>
      <c r="C8" s="38">
        <f>VLOOKUP(C$6, Data!$A$3:$G$8, 7, 0)</f>
        <v>4544.7772222629355</v>
      </c>
      <c r="D8" s="77">
        <f>C8*VLOOKUP(C$6,Data!$A$4:$G$8,3,FALSE)</f>
        <v>2272.3886111314678</v>
      </c>
      <c r="E8" s="78">
        <f>VLOOKUP(C$6,Data!$A$3:$G$8,5,FALSE)+IF($B8=refund_inc_year,refund_inc,0)</f>
        <v>7.0000000000000007E-2</v>
      </c>
      <c r="F8" s="79">
        <f>C8*E8</f>
        <v>318.13440555840549</v>
      </c>
      <c r="G8" s="80">
        <f>F8*VLOOKUP(C$6,Data!$A$4:$G$8,2,FALSE)</f>
        <v>1590.6720277920274</v>
      </c>
      <c r="H8" s="80">
        <f>D8-G8</f>
        <v>681.71658333944038</v>
      </c>
      <c r="I8" s="38">
        <f>VLOOKUP(I$6, Data!$A$3:$G$8, 7, 0)</f>
        <v>9044.8880590088011</v>
      </c>
      <c r="J8" s="77">
        <f>I8*VLOOKUP(I$6,Data!$A$4:$G$8,3,FALSE)</f>
        <v>2713.4664177026402</v>
      </c>
      <c r="K8" s="78">
        <f>VLOOKUP(I$6,Data!$A$3:$G$8,5,FALSE)+IF($B8=refund_inc_year,refund_inc,0)</f>
        <v>0.06</v>
      </c>
      <c r="L8" s="79">
        <f>I8*K8</f>
        <v>542.693283540528</v>
      </c>
      <c r="M8" s="80">
        <f>L8*VLOOKUP(I$6,Data!$A$4:$G$8,2,FALSE)</f>
        <v>3256.159701243168</v>
      </c>
      <c r="N8" s="80">
        <f>J8-M8</f>
        <v>-542.69328354052777</v>
      </c>
      <c r="O8" s="38">
        <f>VLOOKUP(O$6, Data!$A$3:$G$8, 7, 0)</f>
        <v>7685.2130744696997</v>
      </c>
      <c r="P8" s="77">
        <f>O8*VLOOKUP(O$6,Data!$A$4:$G$8,3,FALSE)</f>
        <v>7685.2130744696997</v>
      </c>
      <c r="Q8" s="78">
        <f>VLOOKUP(O$6,Data!$A$3:$G$8,5,FALSE)+IF($B8=refund_inc_year,refund_inc,0)</f>
        <v>0.05</v>
      </c>
      <c r="R8" s="79">
        <f>O8*Q8</f>
        <v>384.26065372348501</v>
      </c>
      <c r="S8" s="80">
        <f>R8*VLOOKUP(O$6,Data!$A$4:$G$8,2,FALSE)</f>
        <v>2881.9549029261375</v>
      </c>
      <c r="T8" s="80">
        <f>P8-S8</f>
        <v>4803.2581715435626</v>
      </c>
      <c r="U8" s="38">
        <f>VLOOKUP(U$6, Data!$A$3:$G$8, 7, 0)</f>
        <v>10604.480185280183</v>
      </c>
      <c r="V8" s="77">
        <f>U8*VLOOKUP(U$6,Data!$A$4:$G$8,3,FALSE)</f>
        <v>26511.200463200457</v>
      </c>
      <c r="W8" s="78">
        <f>VLOOKUP(U$6,Data!$A$3:$G$8,5,FALSE)+IF($B8=refund_inc_year,refund_inc,0)</f>
        <v>7.0000000000000007E-2</v>
      </c>
      <c r="X8" s="79">
        <f>U8*W8</f>
        <v>742.3136129696129</v>
      </c>
      <c r="Y8" s="80">
        <f>X8*VLOOKUP(U$6,Data!$A$4:$G$8,2,FALSE)</f>
        <v>6309.6657102417093</v>
      </c>
      <c r="Z8" s="80">
        <f>V8-Y8</f>
        <v>20201.534752958749</v>
      </c>
      <c r="AA8" s="38">
        <f>VLOOKUP(AA$6, Data!$A$3:$G$8, 7, 0)</f>
        <v>9945.9137337903758</v>
      </c>
      <c r="AB8" s="77">
        <f>AA8*VLOOKUP(AA$6,Data!$A$4:$G$8,3,FALSE)</f>
        <v>27351.262767923534</v>
      </c>
      <c r="AC8" s="78">
        <f>VLOOKUP(AA$6,Data!$A$3:$G$8,5,FALSE)+IF($B8=refund_inc_year,refund_inc,0)</f>
        <v>0.08</v>
      </c>
      <c r="AD8" s="79">
        <f>AA8*AC8</f>
        <v>795.67309870323004</v>
      </c>
      <c r="AE8" s="80">
        <f>AD8*VLOOKUP(AA$6,Data!$A$4:$G$8,2,FALSE)</f>
        <v>7956.7309870323006</v>
      </c>
      <c r="AF8" s="80">
        <f>AB8-AE8</f>
        <v>19394.531780891233</v>
      </c>
      <c r="AG8" s="86">
        <f>H8+N8+T8+Z8+AF8</f>
        <v>44538.348005192456</v>
      </c>
      <c r="AH8" s="84">
        <f>'Combined Admin'!D7</f>
        <v>35000</v>
      </c>
      <c r="AI8" s="84">
        <f t="shared" ref="AI8:AI39" si="0">IF($B8=imp_cost_year,imp_cost/12,0)</f>
        <v>0</v>
      </c>
      <c r="AJ8" s="84">
        <f>AH8+AI8</f>
        <v>35000</v>
      </c>
      <c r="AK8" s="84">
        <f>AG8-AJ8</f>
        <v>9538.3480051924562</v>
      </c>
      <c r="AL8" s="85">
        <f t="shared" ref="AL8:AL39" si="1">(AK8+AL9)/(1+disc_rate)^(1/12)</f>
        <v>1093645.6256561519</v>
      </c>
    </row>
    <row r="9" spans="1:38" x14ac:dyDescent="0.25">
      <c r="A9" s="2">
        <v>2</v>
      </c>
      <c r="B9" s="36">
        <f t="shared" ref="B9:B72" si="2">ROUNDUP(MAX((A9)/12,0),0)</f>
        <v>1</v>
      </c>
      <c r="C9" s="11">
        <f>C8*(1+VLOOKUP(C$6,Data!$A$3:$G$8,6,0))^(1/12)</f>
        <v>4552.2832913446182</v>
      </c>
      <c r="D9" s="59">
        <f>C9*VLOOKUP(C$6,Data!$A$4:$G$8,3,FALSE)</f>
        <v>2276.1416456723091</v>
      </c>
      <c r="E9" s="37">
        <f>VLOOKUP(C$6,Data!$A$3:$G$8,5,FALSE)+IF($B9=refund_inc_year,refund_inc,0)</f>
        <v>7.0000000000000007E-2</v>
      </c>
      <c r="F9" s="58">
        <f t="shared" ref="F9:F72" si="3">C9*E9</f>
        <v>318.65983039412328</v>
      </c>
      <c r="G9" s="75">
        <f>F9*VLOOKUP(C$6,Data!$A$4:$G$8,2,FALSE)</f>
        <v>1593.2991519706163</v>
      </c>
      <c r="H9" s="75">
        <f t="shared" ref="H9:H72" si="4">D9-G9</f>
        <v>682.84249370169277</v>
      </c>
      <c r="I9" s="11">
        <f>I8*(1+VLOOKUP(I$6,Data!$A$3:$G$8,6,0))^(1/12)</f>
        <v>9052.3911383937429</v>
      </c>
      <c r="J9" s="59">
        <f>I9*VLOOKUP(I$6,Data!$A$4:$G$8,3,FALSE)</f>
        <v>2715.7173415181228</v>
      </c>
      <c r="K9" s="37">
        <f>VLOOKUP(I$6,Data!$A$3:$G$8,5,FALSE)+IF($B9=refund_inc_year,refund_inc,0)</f>
        <v>0.06</v>
      </c>
      <c r="L9" s="58">
        <f t="shared" ref="L9:L72" si="5">I9*K9</f>
        <v>543.14346830362456</v>
      </c>
      <c r="M9" s="75">
        <f>L9*VLOOKUP(I$6,Data!$A$4:$G$8,2,FALSE)</f>
        <v>3258.8608098217474</v>
      </c>
      <c r="N9" s="75">
        <f t="shared" ref="N9:N72" si="6">J9-M9</f>
        <v>-543.14346830362456</v>
      </c>
      <c r="O9" s="11">
        <f>O8*(1+VLOOKUP(O$6,Data!$A$3:$G$8,6,0))^(1/12)</f>
        <v>7716.5235838388016</v>
      </c>
      <c r="P9" s="59">
        <f>O9*VLOOKUP(O$6,Data!$A$4:$G$8,3,FALSE)</f>
        <v>7716.5235838388016</v>
      </c>
      <c r="Q9" s="37">
        <f>VLOOKUP(O$6,Data!$A$3:$G$8,5,FALSE)+IF($B9=refund_inc_year,refund_inc,0)</f>
        <v>0.05</v>
      </c>
      <c r="R9" s="58">
        <f t="shared" ref="R9:R72" si="7">O9*Q9</f>
        <v>385.82617919194013</v>
      </c>
      <c r="S9" s="75">
        <f>R9*VLOOKUP(O$6,Data!$A$4:$G$8,2,FALSE)</f>
        <v>2893.6963439395508</v>
      </c>
      <c r="T9" s="75">
        <f t="shared" ref="T9:T72" si="8">P9-S9</f>
        <v>4822.8272398992503</v>
      </c>
      <c r="U9" s="11">
        <f>U8*(1+VLOOKUP(U$6,Data!$A$3:$G$8,6,0))^(1/12)</f>
        <v>10621.994346470776</v>
      </c>
      <c r="V9" s="59">
        <f>U9*VLOOKUP(U$6,Data!$A$4:$G$8,3,FALSE)</f>
        <v>26554.985866176939</v>
      </c>
      <c r="W9" s="37">
        <f>VLOOKUP(U$6,Data!$A$3:$G$8,5,FALSE)+IF($B9=refund_inc_year,refund_inc,0)</f>
        <v>7.0000000000000007E-2</v>
      </c>
      <c r="X9" s="58">
        <f t="shared" ref="X9:X72" si="9">U9*W9</f>
        <v>743.5396042529544</v>
      </c>
      <c r="Y9" s="75">
        <f>X9*VLOOKUP(U$6,Data!$A$4:$G$8,2,FALSE)</f>
        <v>6320.0866361501121</v>
      </c>
      <c r="Z9" s="75">
        <f t="shared" ref="Z9:Z72" si="10">V9-Y9</f>
        <v>20234.899230026829</v>
      </c>
      <c r="AA9" s="11">
        <f>AA8*(1+VLOOKUP(AA$6,Data!$A$3:$G$8,6,0))^(1/12)</f>
        <v>9970.4430401899626</v>
      </c>
      <c r="AB9" s="59">
        <f>AA9*VLOOKUP(AA$6,Data!$A$4:$G$8,3,FALSE)</f>
        <v>27418.718360522398</v>
      </c>
      <c r="AC9" s="37">
        <f>VLOOKUP(AA$6,Data!$A$3:$G$8,5,FALSE)+IF($B9=refund_inc_year,refund_inc,0)</f>
        <v>0.08</v>
      </c>
      <c r="AD9" s="58">
        <f t="shared" ref="AD9:AD72" si="11">AA9*AC9</f>
        <v>797.63544321519703</v>
      </c>
      <c r="AE9" s="75">
        <f>AD9*VLOOKUP(AA$6,Data!$A$4:$G$8,2,FALSE)</f>
        <v>7976.3544321519703</v>
      </c>
      <c r="AF9" s="75">
        <f t="shared" ref="AF9:AF72" si="12">AB9-AE9</f>
        <v>19442.363928370429</v>
      </c>
      <c r="AG9" s="61">
        <f t="shared" ref="AG9:AG72" si="13">H9+N9+T9+Z9+AF9</f>
        <v>44639.789423694572</v>
      </c>
      <c r="AH9" s="60">
        <f>'Combined Admin'!D8</f>
        <v>35000</v>
      </c>
      <c r="AI9" s="60">
        <f t="shared" si="0"/>
        <v>0</v>
      </c>
      <c r="AJ9" s="60">
        <f t="shared" ref="AJ9:AJ72" si="14">AH9+AI9</f>
        <v>35000</v>
      </c>
      <c r="AK9" s="60">
        <f t="shared" ref="AK9:AK72" si="15">AG9-AJ9</f>
        <v>9639.7894236945722</v>
      </c>
      <c r="AL9" s="62">
        <f t="shared" si="1"/>
        <v>1090718.2768993219</v>
      </c>
    </row>
    <row r="10" spans="1:38" x14ac:dyDescent="0.25">
      <c r="A10" s="2">
        <v>3</v>
      </c>
      <c r="B10" s="36">
        <f t="shared" si="2"/>
        <v>1</v>
      </c>
      <c r="C10" s="11">
        <f>C9*(1+VLOOKUP(C$6,Data!$A$3:$G$8,6,0))^(1/12)</f>
        <v>4559.8017573096467</v>
      </c>
      <c r="D10" s="59">
        <f>C10*VLOOKUP(C$6,Data!$A$4:$G$8,3,FALSE)</f>
        <v>2279.9008786548234</v>
      </c>
      <c r="E10" s="37">
        <f>VLOOKUP(C$6,Data!$A$3:$G$8,5,FALSE)+IF($B10=refund_inc_year,refund_inc,0)</f>
        <v>7.0000000000000007E-2</v>
      </c>
      <c r="F10" s="58">
        <f t="shared" si="3"/>
        <v>319.18612301167531</v>
      </c>
      <c r="G10" s="75">
        <f>F10*VLOOKUP(C$6,Data!$A$4:$G$8,2,FALSE)</f>
        <v>1595.9306150583766</v>
      </c>
      <c r="H10" s="75">
        <f t="shared" si="4"/>
        <v>683.97026359644678</v>
      </c>
      <c r="I10" s="11">
        <f>I9*(1+VLOOKUP(I$6,Data!$A$3:$G$8,6,0))^(1/12)</f>
        <v>9059.9004418690092</v>
      </c>
      <c r="J10" s="59">
        <f>I10*VLOOKUP(I$6,Data!$A$4:$G$8,3,FALSE)</f>
        <v>2717.9701325607025</v>
      </c>
      <c r="K10" s="37">
        <f>VLOOKUP(I$6,Data!$A$3:$G$8,5,FALSE)+IF($B10=refund_inc_year,refund_inc,0)</f>
        <v>0.06</v>
      </c>
      <c r="L10" s="58">
        <f t="shared" si="5"/>
        <v>543.59402651214054</v>
      </c>
      <c r="M10" s="75">
        <f>L10*VLOOKUP(I$6,Data!$A$4:$G$8,2,FALSE)</f>
        <v>3261.5641590728433</v>
      </c>
      <c r="N10" s="75">
        <f t="shared" si="6"/>
        <v>-543.59402651214077</v>
      </c>
      <c r="O10" s="11">
        <f>O9*(1+VLOOKUP(O$6,Data!$A$3:$G$8,6,0))^(1/12)</f>
        <v>7747.9616560988025</v>
      </c>
      <c r="P10" s="59">
        <f>O10*VLOOKUP(O$6,Data!$A$4:$G$8,3,FALSE)</f>
        <v>7747.9616560988025</v>
      </c>
      <c r="Q10" s="37">
        <f>VLOOKUP(O$6,Data!$A$3:$G$8,5,FALSE)+IF($B10=refund_inc_year,refund_inc,0)</f>
        <v>0.05</v>
      </c>
      <c r="R10" s="58">
        <f t="shared" si="7"/>
        <v>387.39808280494015</v>
      </c>
      <c r="S10" s="75">
        <f>R10*VLOOKUP(O$6,Data!$A$4:$G$8,2,FALSE)</f>
        <v>2905.4856210370513</v>
      </c>
      <c r="T10" s="75">
        <f t="shared" si="8"/>
        <v>4842.4760350617507</v>
      </c>
      <c r="U10" s="11">
        <f>U9*(1+VLOOKUP(U$6,Data!$A$3:$G$8,6,0))^(1/12)</f>
        <v>10639.537433722509</v>
      </c>
      <c r="V10" s="59">
        <f>U10*VLOOKUP(U$6,Data!$A$4:$G$8,3,FALSE)</f>
        <v>26598.843584306273</v>
      </c>
      <c r="W10" s="37">
        <f>VLOOKUP(U$6,Data!$A$3:$G$8,5,FALSE)+IF($B10=refund_inc_year,refund_inc,0)</f>
        <v>7.0000000000000007E-2</v>
      </c>
      <c r="X10" s="58">
        <f t="shared" si="9"/>
        <v>744.76762036057573</v>
      </c>
      <c r="Y10" s="75">
        <f>X10*VLOOKUP(U$6,Data!$A$4:$G$8,2,FALSE)</f>
        <v>6330.5247730648935</v>
      </c>
      <c r="Z10" s="75">
        <f t="shared" si="10"/>
        <v>20268.318811241377</v>
      </c>
      <c r="AA10" s="11">
        <f>AA9*(1+VLOOKUP(AA$6,Data!$A$3:$G$8,6,0))^(1/12)</f>
        <v>9995.0328424764593</v>
      </c>
      <c r="AB10" s="59">
        <f>AA10*VLOOKUP(AA$6,Data!$A$4:$G$8,3,FALSE)</f>
        <v>27486.340316810263</v>
      </c>
      <c r="AC10" s="37">
        <f>VLOOKUP(AA$6,Data!$A$3:$G$8,5,FALSE)+IF($B10=refund_inc_year,refund_inc,0)</f>
        <v>0.08</v>
      </c>
      <c r="AD10" s="58">
        <f t="shared" si="11"/>
        <v>799.60262739811674</v>
      </c>
      <c r="AE10" s="75">
        <f>AD10*VLOOKUP(AA$6,Data!$A$4:$G$8,2,FALSE)</f>
        <v>7996.0262739811678</v>
      </c>
      <c r="AF10" s="75">
        <f t="shared" si="12"/>
        <v>19490.314042829094</v>
      </c>
      <c r="AG10" s="61">
        <f t="shared" si="13"/>
        <v>44741.485126216532</v>
      </c>
      <c r="AH10" s="60">
        <f>'Combined Admin'!D9</f>
        <v>35000</v>
      </c>
      <c r="AI10" s="60">
        <f t="shared" si="0"/>
        <v>0</v>
      </c>
      <c r="AJ10" s="60">
        <f t="shared" si="14"/>
        <v>35000</v>
      </c>
      <c r="AK10" s="60">
        <f t="shared" si="15"/>
        <v>9741.4851262165321</v>
      </c>
      <c r="AL10" s="62">
        <f t="shared" si="1"/>
        <v>1087671.7911377987</v>
      </c>
    </row>
    <row r="11" spans="1:38" x14ac:dyDescent="0.25">
      <c r="A11" s="2">
        <v>4</v>
      </c>
      <c r="B11" s="36">
        <f t="shared" si="2"/>
        <v>1</v>
      </c>
      <c r="C11" s="11">
        <f>C10*(1+VLOOKUP(C$6,Data!$A$3:$G$8,6,0))^(1/12)</f>
        <v>4567.3326406324823</v>
      </c>
      <c r="D11" s="59">
        <f>C11*VLOOKUP(C$6,Data!$A$4:$G$8,3,FALSE)</f>
        <v>2283.6663203162411</v>
      </c>
      <c r="E11" s="37">
        <f>VLOOKUP(C$6,Data!$A$3:$G$8,5,FALSE)+IF($B11=refund_inc_year,refund_inc,0)</f>
        <v>7.0000000000000007E-2</v>
      </c>
      <c r="F11" s="58">
        <f t="shared" si="3"/>
        <v>319.7132848442738</v>
      </c>
      <c r="G11" s="75">
        <f>F11*VLOOKUP(C$6,Data!$A$4:$G$8,2,FALSE)</f>
        <v>1598.5664242213691</v>
      </c>
      <c r="H11" s="75">
        <f t="shared" si="4"/>
        <v>685.09989609487207</v>
      </c>
      <c r="I11" s="11">
        <f>I10*(1+VLOOKUP(I$6,Data!$A$3:$G$8,6,0))^(1/12)</f>
        <v>9067.4159745977213</v>
      </c>
      <c r="J11" s="59">
        <f>I11*VLOOKUP(I$6,Data!$A$4:$G$8,3,FALSE)</f>
        <v>2720.2247923793161</v>
      </c>
      <c r="K11" s="37">
        <f>VLOOKUP(I$6,Data!$A$3:$G$8,5,FALSE)+IF($B11=refund_inc_year,refund_inc,0)</f>
        <v>0.06</v>
      </c>
      <c r="L11" s="58">
        <f t="shared" si="5"/>
        <v>544.04495847586327</v>
      </c>
      <c r="M11" s="75">
        <f>L11*VLOOKUP(I$6,Data!$A$4:$G$8,2,FALSE)</f>
        <v>3264.2697508551796</v>
      </c>
      <c r="N11" s="75">
        <f t="shared" si="6"/>
        <v>-544.0449584758635</v>
      </c>
      <c r="O11" s="11">
        <f>O10*(1+VLOOKUP(O$6,Data!$A$3:$G$8,6,0))^(1/12)</f>
        <v>7779.5278109567098</v>
      </c>
      <c r="P11" s="59">
        <f>O11*VLOOKUP(O$6,Data!$A$4:$G$8,3,FALSE)</f>
        <v>7779.5278109567098</v>
      </c>
      <c r="Q11" s="37">
        <f>VLOOKUP(O$6,Data!$A$3:$G$8,5,FALSE)+IF($B11=refund_inc_year,refund_inc,0)</f>
        <v>0.05</v>
      </c>
      <c r="R11" s="58">
        <f t="shared" si="7"/>
        <v>388.97639054783554</v>
      </c>
      <c r="S11" s="75">
        <f>R11*VLOOKUP(O$6,Data!$A$4:$G$8,2,FALSE)</f>
        <v>2917.3229291087664</v>
      </c>
      <c r="T11" s="75">
        <f t="shared" si="8"/>
        <v>4862.2048818479434</v>
      </c>
      <c r="U11" s="11">
        <f>U10*(1+VLOOKUP(U$6,Data!$A$3:$G$8,6,0))^(1/12)</f>
        <v>10657.109494809125</v>
      </c>
      <c r="V11" s="59">
        <f>U11*VLOOKUP(U$6,Data!$A$4:$G$8,3,FALSE)</f>
        <v>26642.773737022813</v>
      </c>
      <c r="W11" s="37">
        <f>VLOOKUP(U$6,Data!$A$3:$G$8,5,FALSE)+IF($B11=refund_inc_year,refund_inc,0)</f>
        <v>7.0000000000000007E-2</v>
      </c>
      <c r="X11" s="58">
        <f t="shared" si="9"/>
        <v>745.99766463663877</v>
      </c>
      <c r="Y11" s="75">
        <f>X11*VLOOKUP(U$6,Data!$A$4:$G$8,2,FALSE)</f>
        <v>6340.9801494114299</v>
      </c>
      <c r="Z11" s="75">
        <f t="shared" si="10"/>
        <v>20301.793587611384</v>
      </c>
      <c r="AA11" s="11">
        <f>AA10*(1+VLOOKUP(AA$6,Data!$A$3:$G$8,6,0))^(1/12)</f>
        <v>10019.683289849041</v>
      </c>
      <c r="AB11" s="59">
        <f>AA11*VLOOKUP(AA$6,Data!$A$4:$G$8,3,FALSE)</f>
        <v>27554.129047084862</v>
      </c>
      <c r="AC11" s="37">
        <f>VLOOKUP(AA$6,Data!$A$3:$G$8,5,FALSE)+IF($B11=refund_inc_year,refund_inc,0)</f>
        <v>0.08</v>
      </c>
      <c r="AD11" s="58">
        <f t="shared" si="11"/>
        <v>801.57466318792331</v>
      </c>
      <c r="AE11" s="75">
        <f>AD11*VLOOKUP(AA$6,Data!$A$4:$G$8,2,FALSE)</f>
        <v>8015.7466318792331</v>
      </c>
      <c r="AF11" s="75">
        <f t="shared" si="12"/>
        <v>19538.38241520563</v>
      </c>
      <c r="AG11" s="61">
        <f t="shared" si="13"/>
        <v>44843.435822283966</v>
      </c>
      <c r="AH11" s="60">
        <f>'Combined Admin'!D10</f>
        <v>35000</v>
      </c>
      <c r="AI11" s="60">
        <f t="shared" si="0"/>
        <v>0</v>
      </c>
      <c r="AJ11" s="60">
        <f t="shared" si="14"/>
        <v>35000</v>
      </c>
      <c r="AK11" s="60">
        <f t="shared" si="15"/>
        <v>9843.4358222839655</v>
      </c>
      <c r="AL11" s="62">
        <f t="shared" si="1"/>
        <v>1084505.1939140165</v>
      </c>
    </row>
    <row r="12" spans="1:38" x14ac:dyDescent="0.25">
      <c r="A12" s="2">
        <v>5</v>
      </c>
      <c r="B12" s="36">
        <f t="shared" si="2"/>
        <v>1</v>
      </c>
      <c r="C12" s="11">
        <f>C11*(1+VLOOKUP(C$6,Data!$A$3:$G$8,6,0))^(1/12)</f>
        <v>4574.8759618214008</v>
      </c>
      <c r="D12" s="59">
        <f>C12*VLOOKUP(C$6,Data!$A$4:$G$8,3,FALSE)</f>
        <v>2287.4379809107004</v>
      </c>
      <c r="E12" s="37">
        <f>VLOOKUP(C$6,Data!$A$3:$G$8,5,FALSE)+IF($B12=refund_inc_year,refund_inc,0)</f>
        <v>7.0000000000000007E-2</v>
      </c>
      <c r="F12" s="58">
        <f t="shared" si="3"/>
        <v>320.24131732749811</v>
      </c>
      <c r="G12" s="75">
        <f>F12*VLOOKUP(C$6,Data!$A$4:$G$8,2,FALSE)</f>
        <v>1601.2065866374905</v>
      </c>
      <c r="H12" s="75">
        <f t="shared" si="4"/>
        <v>686.23139427320984</v>
      </c>
      <c r="I12" s="11">
        <f>I11*(1+VLOOKUP(I$6,Data!$A$3:$G$8,6,0))^(1/12)</f>
        <v>9074.9377417472806</v>
      </c>
      <c r="J12" s="59">
        <f>I12*VLOOKUP(I$6,Data!$A$4:$G$8,3,FALSE)</f>
        <v>2722.4813225241842</v>
      </c>
      <c r="K12" s="37">
        <f>VLOOKUP(I$6,Data!$A$3:$G$8,5,FALSE)+IF($B12=refund_inc_year,refund_inc,0)</f>
        <v>0.06</v>
      </c>
      <c r="L12" s="58">
        <f t="shared" si="5"/>
        <v>544.49626450483686</v>
      </c>
      <c r="M12" s="75">
        <f>L12*VLOOKUP(I$6,Data!$A$4:$G$8,2,FALSE)</f>
        <v>3266.9775870290214</v>
      </c>
      <c r="N12" s="75">
        <f t="shared" si="6"/>
        <v>-544.4962645048372</v>
      </c>
      <c r="O12" s="11">
        <f>O11*(1+VLOOKUP(O$6,Data!$A$3:$G$8,6,0))^(1/12)</f>
        <v>7811.2225702368823</v>
      </c>
      <c r="P12" s="59">
        <f>O12*VLOOKUP(O$6,Data!$A$4:$G$8,3,FALSE)</f>
        <v>7811.2225702368823</v>
      </c>
      <c r="Q12" s="37">
        <f>VLOOKUP(O$6,Data!$A$3:$G$8,5,FALSE)+IF($B12=refund_inc_year,refund_inc,0)</f>
        <v>0.05</v>
      </c>
      <c r="R12" s="58">
        <f t="shared" si="7"/>
        <v>390.56112851184412</v>
      </c>
      <c r="S12" s="75">
        <f>R12*VLOOKUP(O$6,Data!$A$4:$G$8,2,FALSE)</f>
        <v>2929.208463838831</v>
      </c>
      <c r="T12" s="75">
        <f t="shared" si="8"/>
        <v>4882.0141063980518</v>
      </c>
      <c r="U12" s="11">
        <f>U11*(1+VLOOKUP(U$6,Data!$A$3:$G$8,6,0))^(1/12)</f>
        <v>10674.710577583268</v>
      </c>
      <c r="V12" s="59">
        <f>U12*VLOOKUP(U$6,Data!$A$4:$G$8,3,FALSE)</f>
        <v>26686.77644395817</v>
      </c>
      <c r="W12" s="37">
        <f>VLOOKUP(U$6,Data!$A$3:$G$8,5,FALSE)+IF($B12=refund_inc_year,refund_inc,0)</f>
        <v>7.0000000000000007E-2</v>
      </c>
      <c r="X12" s="58">
        <f t="shared" si="9"/>
        <v>747.22974043082877</v>
      </c>
      <c r="Y12" s="75">
        <f>X12*VLOOKUP(U$6,Data!$A$4:$G$8,2,FALSE)</f>
        <v>6351.4527936620443</v>
      </c>
      <c r="Z12" s="75">
        <f t="shared" si="10"/>
        <v>20335.323650296126</v>
      </c>
      <c r="AA12" s="11">
        <f>AA11*(1+VLOOKUP(AA$6,Data!$A$3:$G$8,6,0))^(1/12)</f>
        <v>10044.394531874852</v>
      </c>
      <c r="AB12" s="59">
        <f>AA12*VLOOKUP(AA$6,Data!$A$4:$G$8,3,FALSE)</f>
        <v>27622.084962655841</v>
      </c>
      <c r="AC12" s="37">
        <f>VLOOKUP(AA$6,Data!$A$3:$G$8,5,FALSE)+IF($B12=refund_inc_year,refund_inc,0)</f>
        <v>0.08</v>
      </c>
      <c r="AD12" s="58">
        <f t="shared" si="11"/>
        <v>803.55156254998815</v>
      </c>
      <c r="AE12" s="75">
        <f>AD12*VLOOKUP(AA$6,Data!$A$4:$G$8,2,FALSE)</f>
        <v>8035.5156254998819</v>
      </c>
      <c r="AF12" s="75">
        <f t="shared" si="12"/>
        <v>19586.569337155961</v>
      </c>
      <c r="AG12" s="61">
        <f t="shared" si="13"/>
        <v>44945.64222361851</v>
      </c>
      <c r="AH12" s="60">
        <f>'Combined Admin'!D11</f>
        <v>35000</v>
      </c>
      <c r="AI12" s="60">
        <f t="shared" si="0"/>
        <v>0</v>
      </c>
      <c r="AJ12" s="60">
        <f t="shared" si="14"/>
        <v>35000</v>
      </c>
      <c r="AK12" s="60">
        <f t="shared" si="15"/>
        <v>9945.6422236185099</v>
      </c>
      <c r="AL12" s="62">
        <f t="shared" si="1"/>
        <v>1081217.5041703663</v>
      </c>
    </row>
    <row r="13" spans="1:38" x14ac:dyDescent="0.25">
      <c r="A13" s="2">
        <v>6</v>
      </c>
      <c r="B13" s="36">
        <f t="shared" si="2"/>
        <v>1</v>
      </c>
      <c r="C13" s="11">
        <f>C12*(1+VLOOKUP(C$6,Data!$A$3:$G$8,6,0))^(1/12)</f>
        <v>4582.4317414185489</v>
      </c>
      <c r="D13" s="59">
        <f>C13*VLOOKUP(C$6,Data!$A$4:$G$8,3,FALSE)</f>
        <v>2291.2158707092744</v>
      </c>
      <c r="E13" s="37">
        <f>VLOOKUP(C$6,Data!$A$3:$G$8,5,FALSE)+IF($B13=refund_inc_year,refund_inc,0)</f>
        <v>7.0000000000000007E-2</v>
      </c>
      <c r="F13" s="58">
        <f t="shared" si="3"/>
        <v>320.77022189929846</v>
      </c>
      <c r="G13" s="75">
        <f>F13*VLOOKUP(C$6,Data!$A$4:$G$8,2,FALSE)</f>
        <v>1603.8511094964924</v>
      </c>
      <c r="H13" s="75">
        <f t="shared" si="4"/>
        <v>687.36476121278201</v>
      </c>
      <c r="I13" s="11">
        <f>I12*(1+VLOOKUP(I$6,Data!$A$3:$G$8,6,0))^(1/12)</f>
        <v>9082.4657484893778</v>
      </c>
      <c r="J13" s="59">
        <f>I13*VLOOKUP(I$6,Data!$A$4:$G$8,3,FALSE)</f>
        <v>2724.7397245468132</v>
      </c>
      <c r="K13" s="37">
        <f>VLOOKUP(I$6,Data!$A$3:$G$8,5,FALSE)+IF($B13=refund_inc_year,refund_inc,0)</f>
        <v>0.06</v>
      </c>
      <c r="L13" s="58">
        <f t="shared" si="5"/>
        <v>544.9479449093626</v>
      </c>
      <c r="M13" s="75">
        <f>L13*VLOOKUP(I$6,Data!$A$4:$G$8,2,FALSE)</f>
        <v>3269.6876694561756</v>
      </c>
      <c r="N13" s="75">
        <f t="shared" si="6"/>
        <v>-544.94794490936238</v>
      </c>
      <c r="O13" s="11">
        <f>O12*(1+VLOOKUP(O$6,Data!$A$3:$G$8,6,0))^(1/12)</f>
        <v>7843.0464578896554</v>
      </c>
      <c r="P13" s="59">
        <f>O13*VLOOKUP(O$6,Data!$A$4:$G$8,3,FALSE)</f>
        <v>7843.0464578896554</v>
      </c>
      <c r="Q13" s="37">
        <f>VLOOKUP(O$6,Data!$A$3:$G$8,5,FALSE)+IF($B13=refund_inc_year,refund_inc,0)</f>
        <v>0.05</v>
      </c>
      <c r="R13" s="58">
        <f t="shared" si="7"/>
        <v>392.15232289448278</v>
      </c>
      <c r="S13" s="75">
        <f>R13*VLOOKUP(O$6,Data!$A$4:$G$8,2,FALSE)</f>
        <v>2941.142421708621</v>
      </c>
      <c r="T13" s="75">
        <f t="shared" si="8"/>
        <v>4901.9040361810348</v>
      </c>
      <c r="U13" s="11">
        <f>U12*(1+VLOOKUP(U$6,Data!$A$3:$G$8,6,0))^(1/12)</f>
        <v>10692.340729976615</v>
      </c>
      <c r="V13" s="59">
        <f>U13*VLOOKUP(U$6,Data!$A$4:$G$8,3,FALSE)</f>
        <v>26730.851824941536</v>
      </c>
      <c r="W13" s="37">
        <f>VLOOKUP(U$6,Data!$A$3:$G$8,5,FALSE)+IF($B13=refund_inc_year,refund_inc,0)</f>
        <v>7.0000000000000007E-2</v>
      </c>
      <c r="X13" s="58">
        <f t="shared" si="9"/>
        <v>748.46385109836308</v>
      </c>
      <c r="Y13" s="75">
        <f>X13*VLOOKUP(U$6,Data!$A$4:$G$8,2,FALSE)</f>
        <v>6361.9427343360858</v>
      </c>
      <c r="Z13" s="75">
        <f t="shared" si="10"/>
        <v>20368.909090605448</v>
      </c>
      <c r="AA13" s="11">
        <f>AA12*(1+VLOOKUP(AA$6,Data!$A$3:$G$8,6,0))^(1/12)</f>
        <v>10069.166718489907</v>
      </c>
      <c r="AB13" s="59">
        <f>AA13*VLOOKUP(AA$6,Data!$A$4:$G$8,3,FALSE)</f>
        <v>27690.208475847245</v>
      </c>
      <c r="AC13" s="37">
        <f>VLOOKUP(AA$6,Data!$A$3:$G$8,5,FALSE)+IF($B13=refund_inc_year,refund_inc,0)</f>
        <v>0.08</v>
      </c>
      <c r="AD13" s="58">
        <f t="shared" si="11"/>
        <v>805.5333374791926</v>
      </c>
      <c r="AE13" s="75">
        <f>AD13*VLOOKUP(AA$6,Data!$A$4:$G$8,2,FALSE)</f>
        <v>8055.333374791926</v>
      </c>
      <c r="AF13" s="75">
        <f t="shared" si="12"/>
        <v>19634.875101055317</v>
      </c>
      <c r="AG13" s="61">
        <f t="shared" si="13"/>
        <v>45048.105044145217</v>
      </c>
      <c r="AH13" s="60">
        <f>'Combined Admin'!D12</f>
        <v>35000</v>
      </c>
      <c r="AI13" s="60">
        <f t="shared" si="0"/>
        <v>0</v>
      </c>
      <c r="AJ13" s="60">
        <f t="shared" si="14"/>
        <v>35000</v>
      </c>
      <c r="AK13" s="60">
        <f t="shared" si="15"/>
        <v>10048.105044145217</v>
      </c>
      <c r="AL13" s="62">
        <f t="shared" si="1"/>
        <v>1077807.7342071044</v>
      </c>
    </row>
    <row r="14" spans="1:38" x14ac:dyDescent="0.25">
      <c r="A14" s="2">
        <v>7</v>
      </c>
      <c r="B14" s="36">
        <f t="shared" si="2"/>
        <v>1</v>
      </c>
      <c r="C14" s="11">
        <f>C13*(1+VLOOKUP(C$6,Data!$A$3:$G$8,6,0))^(1/12)</f>
        <v>4590.0000000000018</v>
      </c>
      <c r="D14" s="59">
        <f>C14*VLOOKUP(C$6,Data!$A$4:$G$8,3,FALSE)</f>
        <v>2295.0000000000009</v>
      </c>
      <c r="E14" s="37">
        <f>VLOOKUP(C$6,Data!$A$3:$G$8,5,FALSE)+IF($B14=refund_inc_year,refund_inc,0)</f>
        <v>7.0000000000000007E-2</v>
      </c>
      <c r="F14" s="58">
        <f t="shared" si="3"/>
        <v>321.30000000000018</v>
      </c>
      <c r="G14" s="75">
        <f>F14*VLOOKUP(C$6,Data!$A$4:$G$8,2,FALSE)</f>
        <v>1606.5000000000009</v>
      </c>
      <c r="H14" s="75">
        <f t="shared" si="4"/>
        <v>688.5</v>
      </c>
      <c r="I14" s="11">
        <f>I13*(1+VLOOKUP(I$6,Data!$A$3:$G$8,6,0))^(1/12)</f>
        <v>9089.9999999999927</v>
      </c>
      <c r="J14" s="59">
        <f>I14*VLOOKUP(I$6,Data!$A$4:$G$8,3,FALSE)</f>
        <v>2726.9999999999977</v>
      </c>
      <c r="K14" s="37">
        <f>VLOOKUP(I$6,Data!$A$3:$G$8,5,FALSE)+IF($B14=refund_inc_year,refund_inc,0)</f>
        <v>0.06</v>
      </c>
      <c r="L14" s="58">
        <f t="shared" si="5"/>
        <v>545.39999999999952</v>
      </c>
      <c r="M14" s="75">
        <f>L14*VLOOKUP(I$6,Data!$A$4:$G$8,2,FALSE)</f>
        <v>3272.3999999999969</v>
      </c>
      <c r="N14" s="75">
        <f t="shared" si="6"/>
        <v>-545.39999999999918</v>
      </c>
      <c r="O14" s="11">
        <f>O13*(1+VLOOKUP(O$6,Data!$A$3:$G$8,6,0))^(1/12)</f>
        <v>7875.0000000000027</v>
      </c>
      <c r="P14" s="59">
        <f>O14*VLOOKUP(O$6,Data!$A$4:$G$8,3,FALSE)</f>
        <v>7875.0000000000027</v>
      </c>
      <c r="Q14" s="37">
        <f>VLOOKUP(O$6,Data!$A$3:$G$8,5,FALSE)+IF($B14=refund_inc_year,refund_inc,0)</f>
        <v>0.05</v>
      </c>
      <c r="R14" s="58">
        <f t="shared" si="7"/>
        <v>393.75000000000017</v>
      </c>
      <c r="S14" s="75">
        <f>R14*VLOOKUP(O$6,Data!$A$4:$G$8,2,FALSE)</f>
        <v>2953.1250000000014</v>
      </c>
      <c r="T14" s="75">
        <f t="shared" si="8"/>
        <v>4921.8750000000018</v>
      </c>
      <c r="U14" s="11">
        <f>U13*(1+VLOOKUP(U$6,Data!$A$3:$G$8,6,0))^(1/12)</f>
        <v>10710.000000000004</v>
      </c>
      <c r="V14" s="59">
        <f>U14*VLOOKUP(U$6,Data!$A$4:$G$8,3,FALSE)</f>
        <v>26775.000000000007</v>
      </c>
      <c r="W14" s="37">
        <f>VLOOKUP(U$6,Data!$A$3:$G$8,5,FALSE)+IF($B14=refund_inc_year,refund_inc,0)</f>
        <v>7.0000000000000007E-2</v>
      </c>
      <c r="X14" s="58">
        <f t="shared" si="9"/>
        <v>749.70000000000027</v>
      </c>
      <c r="Y14" s="75">
        <f>X14*VLOOKUP(U$6,Data!$A$4:$G$8,2,FALSE)</f>
        <v>6372.4500000000025</v>
      </c>
      <c r="Z14" s="75">
        <f t="shared" si="10"/>
        <v>20402.550000000003</v>
      </c>
      <c r="AA14" s="11">
        <f>AA13*(1+VLOOKUP(AA$6,Data!$A$3:$G$8,6,0))^(1/12)</f>
        <v>10094.000000000005</v>
      </c>
      <c r="AB14" s="59">
        <f>AA14*VLOOKUP(AA$6,Data!$A$4:$G$8,3,FALSE)</f>
        <v>27758.500000000015</v>
      </c>
      <c r="AC14" s="37">
        <f>VLOOKUP(AA$6,Data!$A$3:$G$8,5,FALSE)+IF($B14=refund_inc_year,refund_inc,0)</f>
        <v>0.08</v>
      </c>
      <c r="AD14" s="58">
        <f t="shared" si="11"/>
        <v>807.52000000000044</v>
      </c>
      <c r="AE14" s="75">
        <f>AD14*VLOOKUP(AA$6,Data!$A$4:$G$8,2,FALSE)</f>
        <v>8075.2000000000044</v>
      </c>
      <c r="AF14" s="75">
        <f t="shared" si="12"/>
        <v>19683.30000000001</v>
      </c>
      <c r="AG14" s="61">
        <f t="shared" si="13"/>
        <v>45150.825000000012</v>
      </c>
      <c r="AH14" s="60">
        <f>'Combined Admin'!D13</f>
        <v>35000</v>
      </c>
      <c r="AI14" s="60">
        <f t="shared" si="0"/>
        <v>0</v>
      </c>
      <c r="AJ14" s="60">
        <f t="shared" si="14"/>
        <v>35000</v>
      </c>
      <c r="AK14" s="60">
        <f t="shared" si="15"/>
        <v>10150.825000000012</v>
      </c>
      <c r="AL14" s="62">
        <f t="shared" si="1"/>
        <v>1074274.8896399965</v>
      </c>
    </row>
    <row r="15" spans="1:38" x14ac:dyDescent="0.25">
      <c r="A15" s="2">
        <v>8</v>
      </c>
      <c r="B15" s="36">
        <f t="shared" si="2"/>
        <v>1</v>
      </c>
      <c r="C15" s="11">
        <f>C14*(1+VLOOKUP(C$6,Data!$A$3:$G$8,6,0))^(1/12)</f>
        <v>4597.5807581758154</v>
      </c>
      <c r="D15" s="59">
        <f>C15*VLOOKUP(C$6,Data!$A$4:$G$8,3,FALSE)</f>
        <v>2298.7903790879077</v>
      </c>
      <c r="E15" s="37">
        <f>VLOOKUP(C$6,Data!$A$3:$G$8,5,FALSE)+IF($B15=refund_inc_year,refund_inc,0)</f>
        <v>7.0000000000000007E-2</v>
      </c>
      <c r="F15" s="58">
        <f t="shared" si="3"/>
        <v>321.83065307230709</v>
      </c>
      <c r="G15" s="75">
        <f>F15*VLOOKUP(C$6,Data!$A$4:$G$8,2,FALSE)</f>
        <v>1609.1532653615354</v>
      </c>
      <c r="H15" s="75">
        <f t="shared" si="4"/>
        <v>689.63711372637226</v>
      </c>
      <c r="I15" s="11">
        <f>I14*(1+VLOOKUP(I$6,Data!$A$3:$G$8,6,0))^(1/12)</f>
        <v>9097.5405014593998</v>
      </c>
      <c r="J15" s="59">
        <f>I15*VLOOKUP(I$6,Data!$A$4:$G$8,3,FALSE)</f>
        <v>2729.2621504378199</v>
      </c>
      <c r="K15" s="37">
        <f>VLOOKUP(I$6,Data!$A$3:$G$8,5,FALSE)+IF($B15=refund_inc_year,refund_inc,0)</f>
        <v>0.06</v>
      </c>
      <c r="L15" s="58">
        <f t="shared" si="5"/>
        <v>545.85243008756402</v>
      </c>
      <c r="M15" s="75">
        <f>L15*VLOOKUP(I$6,Data!$A$4:$G$8,2,FALSE)</f>
        <v>3275.1145805253841</v>
      </c>
      <c r="N15" s="75">
        <f t="shared" si="6"/>
        <v>-545.85243008756424</v>
      </c>
      <c r="O15" s="11">
        <f>O14*(1+VLOOKUP(O$6,Data!$A$3:$G$8,6,0))^(1/12)</f>
        <v>7907.0837247962336</v>
      </c>
      <c r="P15" s="59">
        <f>O15*VLOOKUP(O$6,Data!$A$4:$G$8,3,FALSE)</f>
        <v>7907.0837247962336</v>
      </c>
      <c r="Q15" s="37">
        <f>VLOOKUP(O$6,Data!$A$3:$G$8,5,FALSE)+IF($B15=refund_inc_year,refund_inc,0)</f>
        <v>0.05</v>
      </c>
      <c r="R15" s="58">
        <f t="shared" si="7"/>
        <v>395.35418623981172</v>
      </c>
      <c r="S15" s="75">
        <f>R15*VLOOKUP(O$6,Data!$A$4:$G$8,2,FALSE)</f>
        <v>2965.156396798588</v>
      </c>
      <c r="T15" s="75">
        <f t="shared" si="8"/>
        <v>4941.927327997646</v>
      </c>
      <c r="U15" s="11">
        <f>U14*(1+VLOOKUP(U$6,Data!$A$3:$G$8,6,0))^(1/12)</f>
        <v>10727.68843574357</v>
      </c>
      <c r="V15" s="59">
        <f>U15*VLOOKUP(U$6,Data!$A$4:$G$8,3,FALSE)</f>
        <v>26819.221089358925</v>
      </c>
      <c r="W15" s="37">
        <f>VLOOKUP(U$6,Data!$A$3:$G$8,5,FALSE)+IF($B15=refund_inc_year,refund_inc,0)</f>
        <v>7.0000000000000007E-2</v>
      </c>
      <c r="X15" s="58">
        <f t="shared" si="9"/>
        <v>750.93819050205002</v>
      </c>
      <c r="Y15" s="75">
        <f>X15*VLOOKUP(U$6,Data!$A$4:$G$8,2,FALSE)</f>
        <v>6382.9746192674247</v>
      </c>
      <c r="Z15" s="75">
        <f t="shared" si="10"/>
        <v>20436.246470091501</v>
      </c>
      <c r="AA15" s="11">
        <f>AA14*(1+VLOOKUP(AA$6,Data!$A$3:$G$8,6,0))^(1/12)</f>
        <v>10118.894527081638</v>
      </c>
      <c r="AB15" s="59">
        <f>AA15*VLOOKUP(AA$6,Data!$A$4:$G$8,3,FALSE)</f>
        <v>27826.959949474505</v>
      </c>
      <c r="AC15" s="37">
        <f>VLOOKUP(AA$6,Data!$A$3:$G$8,5,FALSE)+IF($B15=refund_inc_year,refund_inc,0)</f>
        <v>0.08</v>
      </c>
      <c r="AD15" s="58">
        <f t="shared" si="11"/>
        <v>809.51156216653112</v>
      </c>
      <c r="AE15" s="75">
        <f>AD15*VLOOKUP(AA$6,Data!$A$4:$G$8,2,FALSE)</f>
        <v>8095.1156216653108</v>
      </c>
      <c r="AF15" s="75">
        <f t="shared" si="12"/>
        <v>19731.844327809195</v>
      </c>
      <c r="AG15" s="61">
        <f t="shared" si="13"/>
        <v>45253.802809537148</v>
      </c>
      <c r="AH15" s="60">
        <f>'Combined Admin'!D14</f>
        <v>35000</v>
      </c>
      <c r="AI15" s="60">
        <f t="shared" si="0"/>
        <v>0</v>
      </c>
      <c r="AJ15" s="60">
        <f t="shared" si="14"/>
        <v>35000</v>
      </c>
      <c r="AK15" s="60">
        <f t="shared" si="15"/>
        <v>10253.802809537148</v>
      </c>
      <c r="AL15" s="62">
        <f t="shared" si="1"/>
        <v>1070617.9693577003</v>
      </c>
    </row>
    <row r="16" spans="1:38" x14ac:dyDescent="0.25">
      <c r="A16" s="2">
        <v>9</v>
      </c>
      <c r="B16" s="36">
        <f t="shared" si="2"/>
        <v>1</v>
      </c>
      <c r="C16" s="11">
        <f>C15*(1+VLOOKUP(C$6,Data!$A$3:$G$8,6,0))^(1/12)</f>
        <v>4605.1740365900869</v>
      </c>
      <c r="D16" s="59">
        <f>C16*VLOOKUP(C$6,Data!$A$4:$G$8,3,FALSE)</f>
        <v>2302.5870182950434</v>
      </c>
      <c r="E16" s="37">
        <f>VLOOKUP(C$6,Data!$A$3:$G$8,5,FALSE)+IF($B16=refund_inc_year,refund_inc,0)</f>
        <v>7.0000000000000007E-2</v>
      </c>
      <c r="F16" s="58">
        <f t="shared" si="3"/>
        <v>322.3621825613061</v>
      </c>
      <c r="G16" s="75">
        <f>F16*VLOOKUP(C$6,Data!$A$4:$G$8,2,FALSE)</f>
        <v>1611.8109128065305</v>
      </c>
      <c r="H16" s="75">
        <f t="shared" si="4"/>
        <v>690.77610548851294</v>
      </c>
      <c r="I16" s="11">
        <f>I15*(1+VLOOKUP(I$6,Data!$A$3:$G$8,6,0))^(1/12)</f>
        <v>9105.0872580521682</v>
      </c>
      <c r="J16" s="59">
        <f>I16*VLOOKUP(I$6,Data!$A$4:$G$8,3,FALSE)</f>
        <v>2731.5261774156502</v>
      </c>
      <c r="K16" s="37">
        <f>VLOOKUP(I$6,Data!$A$3:$G$8,5,FALSE)+IF($B16=refund_inc_year,refund_inc,0)</f>
        <v>0.06</v>
      </c>
      <c r="L16" s="58">
        <f t="shared" si="5"/>
        <v>546.3052354831301</v>
      </c>
      <c r="M16" s="75">
        <f>L16*VLOOKUP(I$6,Data!$A$4:$G$8,2,FALSE)</f>
        <v>3277.8314128987804</v>
      </c>
      <c r="N16" s="75">
        <f t="shared" si="6"/>
        <v>-546.30523548313022</v>
      </c>
      <c r="O16" s="11">
        <f>O15*(1+VLOOKUP(O$6,Data!$A$3:$G$8,6,0))^(1/12)</f>
        <v>7939.2981626587243</v>
      </c>
      <c r="P16" s="59">
        <f>O16*VLOOKUP(O$6,Data!$A$4:$G$8,3,FALSE)</f>
        <v>7939.2981626587243</v>
      </c>
      <c r="Q16" s="37">
        <f>VLOOKUP(O$6,Data!$A$3:$G$8,5,FALSE)+IF($B16=refund_inc_year,refund_inc,0)</f>
        <v>0.05</v>
      </c>
      <c r="R16" s="58">
        <f t="shared" si="7"/>
        <v>396.96490813293622</v>
      </c>
      <c r="S16" s="75">
        <f>R16*VLOOKUP(O$6,Data!$A$4:$G$8,2,FALSE)</f>
        <v>2977.2368109970216</v>
      </c>
      <c r="T16" s="75">
        <f t="shared" si="8"/>
        <v>4962.0613516617032</v>
      </c>
      <c r="U16" s="11">
        <f>U15*(1+VLOOKUP(U$6,Data!$A$3:$G$8,6,0))^(1/12)</f>
        <v>10745.40608537687</v>
      </c>
      <c r="V16" s="59">
        <f>U16*VLOOKUP(U$6,Data!$A$4:$G$8,3,FALSE)</f>
        <v>26863.515213442173</v>
      </c>
      <c r="W16" s="37">
        <f>VLOOKUP(U$6,Data!$A$3:$G$8,5,FALSE)+IF($B16=refund_inc_year,refund_inc,0)</f>
        <v>7.0000000000000007E-2</v>
      </c>
      <c r="X16" s="58">
        <f t="shared" si="9"/>
        <v>752.17842597638094</v>
      </c>
      <c r="Y16" s="75">
        <f>X16*VLOOKUP(U$6,Data!$A$4:$G$8,2,FALSE)</f>
        <v>6393.5166207992379</v>
      </c>
      <c r="Z16" s="75">
        <f t="shared" si="10"/>
        <v>20469.998592642936</v>
      </c>
      <c r="AA16" s="11">
        <f>AA15*(1+VLOOKUP(AA$6,Data!$A$3:$G$8,6,0))^(1/12)</f>
        <v>10143.850450782909</v>
      </c>
      <c r="AB16" s="59">
        <f>AA16*VLOOKUP(AA$6,Data!$A$4:$G$8,3,FALSE)</f>
        <v>27895.588739653002</v>
      </c>
      <c r="AC16" s="37">
        <f>VLOOKUP(AA$6,Data!$A$3:$G$8,5,FALSE)+IF($B16=refund_inc_year,refund_inc,0)</f>
        <v>0.08</v>
      </c>
      <c r="AD16" s="58">
        <f t="shared" si="11"/>
        <v>811.50803606263275</v>
      </c>
      <c r="AE16" s="75">
        <f>AD16*VLOOKUP(AA$6,Data!$A$4:$G$8,2,FALSE)</f>
        <v>8115.0803606263271</v>
      </c>
      <c r="AF16" s="75">
        <f t="shared" si="12"/>
        <v>19780.508379026673</v>
      </c>
      <c r="AG16" s="61">
        <f t="shared" si="13"/>
        <v>45357.039193336692</v>
      </c>
      <c r="AH16" s="60">
        <f>'Combined Admin'!D15</f>
        <v>35000</v>
      </c>
      <c r="AI16" s="60">
        <f t="shared" si="0"/>
        <v>0</v>
      </c>
      <c r="AJ16" s="60">
        <f t="shared" si="14"/>
        <v>35000</v>
      </c>
      <c r="AK16" s="60">
        <f t="shared" si="15"/>
        <v>10357.039193336692</v>
      </c>
      <c r="AL16" s="62">
        <f t="shared" si="1"/>
        <v>1066835.9654788822</v>
      </c>
    </row>
    <row r="17" spans="1:38" x14ac:dyDescent="0.25">
      <c r="A17" s="2">
        <v>10</v>
      </c>
      <c r="B17" s="36">
        <f t="shared" si="2"/>
        <v>1</v>
      </c>
      <c r="C17" s="11">
        <f>C16*(1+VLOOKUP(C$6,Data!$A$3:$G$8,6,0))^(1/12)</f>
        <v>4612.7798559210078</v>
      </c>
      <c r="D17" s="59">
        <f>C17*VLOOKUP(C$6,Data!$A$4:$G$8,3,FALSE)</f>
        <v>2306.3899279605039</v>
      </c>
      <c r="E17" s="37">
        <f>VLOOKUP(C$6,Data!$A$3:$G$8,5,FALSE)+IF($B17=refund_inc_year,refund_inc,0)</f>
        <v>7.0000000000000007E-2</v>
      </c>
      <c r="F17" s="58">
        <f t="shared" si="3"/>
        <v>322.8945899144706</v>
      </c>
      <c r="G17" s="75">
        <f>F17*VLOOKUP(C$6,Data!$A$4:$G$8,2,FALSE)</f>
        <v>1614.4729495723529</v>
      </c>
      <c r="H17" s="75">
        <f t="shared" si="4"/>
        <v>691.91697838815094</v>
      </c>
      <c r="I17" s="11">
        <f>I16*(1+VLOOKUP(I$6,Data!$A$3:$G$8,6,0))^(1/12)</f>
        <v>9112.6402749671706</v>
      </c>
      <c r="J17" s="59">
        <f>I17*VLOOKUP(I$6,Data!$A$4:$G$8,3,FALSE)</f>
        <v>2733.7920824901512</v>
      </c>
      <c r="K17" s="37">
        <f>VLOOKUP(I$6,Data!$A$3:$G$8,5,FALSE)+IF($B17=refund_inc_year,refund_inc,0)</f>
        <v>0.06</v>
      </c>
      <c r="L17" s="58">
        <f t="shared" si="5"/>
        <v>546.75841649803021</v>
      </c>
      <c r="M17" s="75">
        <f>L17*VLOOKUP(I$6,Data!$A$4:$G$8,2,FALSE)</f>
        <v>3280.5504989881811</v>
      </c>
      <c r="N17" s="75">
        <f t="shared" si="6"/>
        <v>-546.75841649802987</v>
      </c>
      <c r="O17" s="11">
        <f>O16*(1+VLOOKUP(O$6,Data!$A$3:$G$8,6,0))^(1/12)</f>
        <v>7971.643846128688</v>
      </c>
      <c r="P17" s="59">
        <f>O17*VLOOKUP(O$6,Data!$A$4:$G$8,3,FALSE)</f>
        <v>7971.643846128688</v>
      </c>
      <c r="Q17" s="37">
        <f>VLOOKUP(O$6,Data!$A$3:$G$8,5,FALSE)+IF($B17=refund_inc_year,refund_inc,0)</f>
        <v>0.05</v>
      </c>
      <c r="R17" s="58">
        <f t="shared" si="7"/>
        <v>398.58219230643442</v>
      </c>
      <c r="S17" s="75">
        <f>R17*VLOOKUP(O$6,Data!$A$4:$G$8,2,FALSE)</f>
        <v>2989.3664422982583</v>
      </c>
      <c r="T17" s="75">
        <f t="shared" si="8"/>
        <v>4982.2774038304296</v>
      </c>
      <c r="U17" s="11">
        <f>U16*(1+VLOOKUP(U$6,Data!$A$3:$G$8,6,0))^(1/12)</f>
        <v>10763.152997149018</v>
      </c>
      <c r="V17" s="59">
        <f>U17*VLOOKUP(U$6,Data!$A$4:$G$8,3,FALSE)</f>
        <v>26907.882492872544</v>
      </c>
      <c r="W17" s="37">
        <f>VLOOKUP(U$6,Data!$A$3:$G$8,5,FALSE)+IF($B17=refund_inc_year,refund_inc,0)</f>
        <v>7.0000000000000007E-2</v>
      </c>
      <c r="X17" s="58">
        <f t="shared" si="9"/>
        <v>753.42070980043138</v>
      </c>
      <c r="Y17" s="75">
        <f>X17*VLOOKUP(U$6,Data!$A$4:$G$8,2,FALSE)</f>
        <v>6404.0760333036669</v>
      </c>
      <c r="Z17" s="75">
        <f t="shared" si="10"/>
        <v>20503.806459568877</v>
      </c>
      <c r="AA17" s="11">
        <f>AA16*(1+VLOOKUP(AA$6,Data!$A$3:$G$8,6,0))^(1/12)</f>
        <v>10168.867922524445</v>
      </c>
      <c r="AB17" s="59">
        <f>AA17*VLOOKUP(AA$6,Data!$A$4:$G$8,3,FALSE)</f>
        <v>27964.386786942225</v>
      </c>
      <c r="AC17" s="37">
        <f>VLOOKUP(AA$6,Data!$A$3:$G$8,5,FALSE)+IF($B17=refund_inc_year,refund_inc,0)</f>
        <v>0.08</v>
      </c>
      <c r="AD17" s="58">
        <f t="shared" si="11"/>
        <v>813.50943380195565</v>
      </c>
      <c r="AE17" s="75">
        <f>AD17*VLOOKUP(AA$6,Data!$A$4:$G$8,2,FALSE)</f>
        <v>8135.0943380195567</v>
      </c>
      <c r="AF17" s="75">
        <f t="shared" si="12"/>
        <v>19829.292448922668</v>
      </c>
      <c r="AG17" s="61">
        <f t="shared" si="13"/>
        <v>45460.534874212099</v>
      </c>
      <c r="AH17" s="60">
        <f>'Combined Admin'!D16</f>
        <v>35000</v>
      </c>
      <c r="AI17" s="60">
        <f t="shared" si="0"/>
        <v>0</v>
      </c>
      <c r="AJ17" s="60">
        <f t="shared" si="14"/>
        <v>35000</v>
      </c>
      <c r="AK17" s="60">
        <f t="shared" si="15"/>
        <v>10460.534874212099</v>
      </c>
      <c r="AL17" s="62">
        <f t="shared" si="1"/>
        <v>1062927.8633090674</v>
      </c>
    </row>
    <row r="18" spans="1:38" x14ac:dyDescent="0.25">
      <c r="A18" s="2">
        <v>11</v>
      </c>
      <c r="B18" s="36">
        <f t="shared" si="2"/>
        <v>1</v>
      </c>
      <c r="C18" s="11">
        <f>C17*(1+VLOOKUP(C$6,Data!$A$3:$G$8,6,0))^(1/12)</f>
        <v>4620.3982368809211</v>
      </c>
      <c r="D18" s="59">
        <f>C18*VLOOKUP(C$6,Data!$A$4:$G$8,3,FALSE)</f>
        <v>2310.1991184404606</v>
      </c>
      <c r="E18" s="37">
        <f>VLOOKUP(C$6,Data!$A$3:$G$8,5,FALSE)+IF($B18=refund_inc_year,refund_inc,0)</f>
        <v>7.0000000000000007E-2</v>
      </c>
      <c r="F18" s="58">
        <f t="shared" si="3"/>
        <v>323.42787658166452</v>
      </c>
      <c r="G18" s="75">
        <f>F18*VLOOKUP(C$6,Data!$A$4:$G$8,2,FALSE)</f>
        <v>1617.1393829083227</v>
      </c>
      <c r="H18" s="75">
        <f t="shared" si="4"/>
        <v>693.05973553213789</v>
      </c>
      <c r="I18" s="11">
        <f>I17*(1+VLOOKUP(I$6,Data!$A$3:$G$8,6,0))^(1/12)</f>
        <v>9120.1995573975819</v>
      </c>
      <c r="J18" s="59">
        <f>I18*VLOOKUP(I$6,Data!$A$4:$G$8,3,FALSE)</f>
        <v>2736.0598672192746</v>
      </c>
      <c r="K18" s="37">
        <f>VLOOKUP(I$6,Data!$A$3:$G$8,5,FALSE)+IF($B18=refund_inc_year,refund_inc,0)</f>
        <v>0.06</v>
      </c>
      <c r="L18" s="58">
        <f t="shared" si="5"/>
        <v>547.21197344385484</v>
      </c>
      <c r="M18" s="75">
        <f>L18*VLOOKUP(I$6,Data!$A$4:$G$8,2,FALSE)</f>
        <v>3283.2718406631293</v>
      </c>
      <c r="N18" s="75">
        <f t="shared" si="6"/>
        <v>-547.21197344385473</v>
      </c>
      <c r="O18" s="11">
        <f>O17*(1+VLOOKUP(O$6,Data!$A$3:$G$8,6,0))^(1/12)</f>
        <v>8004.1213099169745</v>
      </c>
      <c r="P18" s="59">
        <f>O18*VLOOKUP(O$6,Data!$A$4:$G$8,3,FALSE)</f>
        <v>8004.1213099169745</v>
      </c>
      <c r="Q18" s="37">
        <f>VLOOKUP(O$6,Data!$A$3:$G$8,5,FALSE)+IF($B18=refund_inc_year,refund_inc,0)</f>
        <v>0.05</v>
      </c>
      <c r="R18" s="58">
        <f t="shared" si="7"/>
        <v>400.20606549584875</v>
      </c>
      <c r="S18" s="75">
        <f>R18*VLOOKUP(O$6,Data!$A$4:$G$8,2,FALSE)</f>
        <v>3001.5454912188657</v>
      </c>
      <c r="T18" s="75">
        <f t="shared" si="8"/>
        <v>5002.5758186981093</v>
      </c>
      <c r="U18" s="11">
        <f>U17*(1+VLOOKUP(U$6,Data!$A$3:$G$8,6,0))^(1/12)</f>
        <v>10780.929219388816</v>
      </c>
      <c r="V18" s="59">
        <f>U18*VLOOKUP(U$6,Data!$A$4:$G$8,3,FALSE)</f>
        <v>26952.323048472041</v>
      </c>
      <c r="W18" s="37">
        <f>VLOOKUP(U$6,Data!$A$3:$G$8,5,FALSE)+IF($B18=refund_inc_year,refund_inc,0)</f>
        <v>7.0000000000000007E-2</v>
      </c>
      <c r="X18" s="58">
        <f t="shared" si="9"/>
        <v>754.6650453572172</v>
      </c>
      <c r="Y18" s="75">
        <f>X18*VLOOKUP(U$6,Data!$A$4:$G$8,2,FALSE)</f>
        <v>6414.6528855363458</v>
      </c>
      <c r="Z18" s="75">
        <f t="shared" si="10"/>
        <v>20537.670162935694</v>
      </c>
      <c r="AA18" s="11">
        <f>AA17*(1+VLOOKUP(AA$6,Data!$A$3:$G$8,6,0))^(1/12)</f>
        <v>10193.947094100316</v>
      </c>
      <c r="AB18" s="59">
        <f>AA18*VLOOKUP(AA$6,Data!$A$4:$G$8,3,FALSE)</f>
        <v>28033.354508775868</v>
      </c>
      <c r="AC18" s="37">
        <f>VLOOKUP(AA$6,Data!$A$3:$G$8,5,FALSE)+IF($B18=refund_inc_year,refund_inc,0)</f>
        <v>0.08</v>
      </c>
      <c r="AD18" s="58">
        <f t="shared" si="11"/>
        <v>815.51576752802532</v>
      </c>
      <c r="AE18" s="75">
        <f>AD18*VLOOKUP(AA$6,Data!$A$4:$G$8,2,FALSE)</f>
        <v>8155.157675280253</v>
      </c>
      <c r="AF18" s="75">
        <f t="shared" si="12"/>
        <v>19878.196833495615</v>
      </c>
      <c r="AG18" s="61">
        <f t="shared" si="13"/>
        <v>45564.290577217704</v>
      </c>
      <c r="AH18" s="60">
        <f>'Combined Admin'!D17</f>
        <v>35000</v>
      </c>
      <c r="AI18" s="60">
        <f t="shared" si="0"/>
        <v>0</v>
      </c>
      <c r="AJ18" s="60">
        <f t="shared" si="14"/>
        <v>35000</v>
      </c>
      <c r="AK18" s="60">
        <f t="shared" si="15"/>
        <v>10564.290577217704</v>
      </c>
      <c r="AL18" s="62">
        <f t="shared" si="1"/>
        <v>1058892.6412972221</v>
      </c>
    </row>
    <row r="19" spans="1:38" x14ac:dyDescent="0.25">
      <c r="A19" s="2">
        <v>12</v>
      </c>
      <c r="B19" s="36">
        <f t="shared" si="2"/>
        <v>1</v>
      </c>
      <c r="C19" s="11">
        <f>C18*(1+VLOOKUP(C$6,Data!$A$3:$G$8,6,0))^(1/12)</f>
        <v>4628.0292002163787</v>
      </c>
      <c r="D19" s="59">
        <f>C19*VLOOKUP(C$6,Data!$A$4:$G$8,3,FALSE)</f>
        <v>2314.0146001081894</v>
      </c>
      <c r="E19" s="37">
        <f>VLOOKUP(C$6,Data!$A$3:$G$8,5,FALSE)+IF($B19=refund_inc_year,refund_inc,0)</f>
        <v>7.0000000000000007E-2</v>
      </c>
      <c r="F19" s="58">
        <f t="shared" si="3"/>
        <v>323.96204401514655</v>
      </c>
      <c r="G19" s="75">
        <f>F19*VLOOKUP(C$6,Data!$A$4:$G$8,2,FALSE)</f>
        <v>1619.8102200757328</v>
      </c>
      <c r="H19" s="75">
        <f t="shared" si="4"/>
        <v>694.20438003245658</v>
      </c>
      <c r="I19" s="11">
        <f>I18*(1+VLOOKUP(I$6,Data!$A$3:$G$8,6,0))^(1/12)</f>
        <v>9127.7651105408859</v>
      </c>
      <c r="J19" s="59">
        <f>I19*VLOOKUP(I$6,Data!$A$4:$G$8,3,FALSE)</f>
        <v>2738.3295331622658</v>
      </c>
      <c r="K19" s="37">
        <f>VLOOKUP(I$6,Data!$A$3:$G$8,5,FALSE)+IF($B19=refund_inc_year,refund_inc,0)</f>
        <v>0.06</v>
      </c>
      <c r="L19" s="58">
        <f t="shared" si="5"/>
        <v>547.66590663245313</v>
      </c>
      <c r="M19" s="75">
        <f>L19*VLOOKUP(I$6,Data!$A$4:$G$8,2,FALSE)</f>
        <v>3285.9954397947185</v>
      </c>
      <c r="N19" s="75">
        <f t="shared" si="6"/>
        <v>-547.66590663245279</v>
      </c>
      <c r="O19" s="11">
        <f>O18*(1+VLOOKUP(O$6,Data!$A$3:$G$8,6,0))^(1/12)</f>
        <v>8036.7310909129137</v>
      </c>
      <c r="P19" s="59">
        <f>O19*VLOOKUP(O$6,Data!$A$4:$G$8,3,FALSE)</f>
        <v>8036.7310909129137</v>
      </c>
      <c r="Q19" s="37">
        <f>VLOOKUP(O$6,Data!$A$3:$G$8,5,FALSE)+IF($B19=refund_inc_year,refund_inc,0)</f>
        <v>0.05</v>
      </c>
      <c r="R19" s="58">
        <f t="shared" si="7"/>
        <v>401.8365545456457</v>
      </c>
      <c r="S19" s="75">
        <f>R19*VLOOKUP(O$6,Data!$A$4:$G$8,2,FALSE)</f>
        <v>3013.7741590923429</v>
      </c>
      <c r="T19" s="75">
        <f t="shared" si="8"/>
        <v>5022.9569318205704</v>
      </c>
      <c r="U19" s="11">
        <f>U18*(1+VLOOKUP(U$6,Data!$A$3:$G$8,6,0))^(1/12)</f>
        <v>10798.734800504884</v>
      </c>
      <c r="V19" s="59">
        <f>U19*VLOOKUP(U$6,Data!$A$4:$G$8,3,FALSE)</f>
        <v>26996.837001262211</v>
      </c>
      <c r="W19" s="37">
        <f>VLOOKUP(U$6,Data!$A$3:$G$8,5,FALSE)+IF($B19=refund_inc_year,refund_inc,0)</f>
        <v>7.0000000000000007E-2</v>
      </c>
      <c r="X19" s="58">
        <f t="shared" si="9"/>
        <v>755.91143603534192</v>
      </c>
      <c r="Y19" s="75">
        <f>X19*VLOOKUP(U$6,Data!$A$4:$G$8,2,FALSE)</f>
        <v>6425.2472063004061</v>
      </c>
      <c r="Z19" s="75">
        <f t="shared" si="10"/>
        <v>20571.589794961805</v>
      </c>
      <c r="AA19" s="11">
        <f>AA18*(1+VLOOKUP(AA$6,Data!$A$3:$G$8,6,0))^(1/12)</f>
        <v>10219.088117678959</v>
      </c>
      <c r="AB19" s="59">
        <f>AA19*VLOOKUP(AA$6,Data!$A$4:$G$8,3,FALSE)</f>
        <v>28102.492323617138</v>
      </c>
      <c r="AC19" s="37">
        <f>VLOOKUP(AA$6,Data!$A$3:$G$8,5,FALSE)+IF($B19=refund_inc_year,refund_inc,0)</f>
        <v>0.08</v>
      </c>
      <c r="AD19" s="58">
        <f t="shared" si="11"/>
        <v>817.52704941431671</v>
      </c>
      <c r="AE19" s="75">
        <f>AD19*VLOOKUP(AA$6,Data!$A$4:$G$8,2,FALSE)</f>
        <v>8175.2704941431675</v>
      </c>
      <c r="AF19" s="75">
        <f t="shared" si="12"/>
        <v>19927.221829473972</v>
      </c>
      <c r="AG19" s="61">
        <f t="shared" si="13"/>
        <v>45668.307029656353</v>
      </c>
      <c r="AH19" s="60">
        <f>'Combined Admin'!D18</f>
        <v>35000</v>
      </c>
      <c r="AI19" s="60">
        <f t="shared" si="0"/>
        <v>0</v>
      </c>
      <c r="AJ19" s="60">
        <f t="shared" si="14"/>
        <v>35000</v>
      </c>
      <c r="AK19" s="60">
        <f t="shared" si="15"/>
        <v>10668.307029656353</v>
      </c>
      <c r="AL19" s="62">
        <f t="shared" si="1"/>
        <v>1054729.2709920644</v>
      </c>
    </row>
    <row r="20" spans="1:38" x14ac:dyDescent="0.25">
      <c r="A20" s="2">
        <v>13</v>
      </c>
      <c r="B20" s="36">
        <f t="shared" si="2"/>
        <v>2</v>
      </c>
      <c r="C20" s="11">
        <f>C19*(1+VLOOKUP(C$6,Data!$A$3:$G$8,6,0))^(1/12)</f>
        <v>4635.6727667081968</v>
      </c>
      <c r="D20" s="59">
        <f>C20*VLOOKUP(C$6,Data!$A$4:$G$8,3,FALSE)</f>
        <v>2317.8363833540984</v>
      </c>
      <c r="E20" s="37">
        <f>VLOOKUP(C$6,Data!$A$3:$G$8,5,FALSE)+IF($B20=refund_inc_year,refund_inc,0)</f>
        <v>7.0000000000000007E-2</v>
      </c>
      <c r="F20" s="58">
        <f t="shared" si="3"/>
        <v>324.49709366957381</v>
      </c>
      <c r="G20" s="75">
        <f>F20*VLOOKUP(C$6,Data!$A$4:$G$8,2,FALSE)</f>
        <v>1622.4854683478691</v>
      </c>
      <c r="H20" s="75">
        <f t="shared" si="4"/>
        <v>695.35091500622934</v>
      </c>
      <c r="I20" s="11">
        <f>I19*(1+VLOOKUP(I$6,Data!$A$3:$G$8,6,0))^(1/12)</f>
        <v>9135.3369395988793</v>
      </c>
      <c r="J20" s="59">
        <f>I20*VLOOKUP(I$6,Data!$A$4:$G$8,3,FALSE)</f>
        <v>2740.6010818796635</v>
      </c>
      <c r="K20" s="37">
        <f>VLOOKUP(I$6,Data!$A$3:$G$8,5,FALSE)+IF($B20=refund_inc_year,refund_inc,0)</f>
        <v>0.06</v>
      </c>
      <c r="L20" s="58">
        <f t="shared" si="5"/>
        <v>548.12021637593273</v>
      </c>
      <c r="M20" s="75">
        <f>L20*VLOOKUP(I$6,Data!$A$4:$G$8,2,FALSE)</f>
        <v>3288.7212982555966</v>
      </c>
      <c r="N20" s="75">
        <f t="shared" si="6"/>
        <v>-548.12021637593307</v>
      </c>
      <c r="O20" s="11">
        <f>O19*(1+VLOOKUP(O$6,Data!$A$3:$G$8,6,0))^(1/12)</f>
        <v>8069.4737281931884</v>
      </c>
      <c r="P20" s="59">
        <f>O20*VLOOKUP(O$6,Data!$A$4:$G$8,3,FALSE)</f>
        <v>8069.4737281931884</v>
      </c>
      <c r="Q20" s="37">
        <f>VLOOKUP(O$6,Data!$A$3:$G$8,5,FALSE)+IF($B20=refund_inc_year,refund_inc,0)</f>
        <v>0.05</v>
      </c>
      <c r="R20" s="58">
        <f t="shared" si="7"/>
        <v>403.47368640965942</v>
      </c>
      <c r="S20" s="75">
        <f>R20*VLOOKUP(O$6,Data!$A$4:$G$8,2,FALSE)</f>
        <v>3026.0526480724457</v>
      </c>
      <c r="T20" s="75">
        <f t="shared" si="8"/>
        <v>5043.4210801207428</v>
      </c>
      <c r="U20" s="11">
        <f>U19*(1+VLOOKUP(U$6,Data!$A$3:$G$8,6,0))^(1/12)</f>
        <v>10816.569788985793</v>
      </c>
      <c r="V20" s="59">
        <f>U20*VLOOKUP(U$6,Data!$A$4:$G$8,3,FALSE)</f>
        <v>27041.424472464481</v>
      </c>
      <c r="W20" s="37">
        <f>VLOOKUP(U$6,Data!$A$3:$G$8,5,FALSE)+IF($B20=refund_inc_year,refund_inc,0)</f>
        <v>7.0000000000000007E-2</v>
      </c>
      <c r="X20" s="58">
        <f t="shared" si="9"/>
        <v>757.15988522900557</v>
      </c>
      <c r="Y20" s="75">
        <f>X20*VLOOKUP(U$6,Data!$A$4:$G$8,2,FALSE)</f>
        <v>6435.8590244465477</v>
      </c>
      <c r="Z20" s="75">
        <f t="shared" si="10"/>
        <v>20605.565448017933</v>
      </c>
      <c r="AA20" s="11">
        <f>AA19*(1+VLOOKUP(AA$6,Data!$A$3:$G$8,6,0))^(1/12)</f>
        <v>10244.291145804098</v>
      </c>
      <c r="AB20" s="59">
        <f>AA20*VLOOKUP(AA$6,Data!$A$4:$G$8,3,FALSE)</f>
        <v>28171.800650961268</v>
      </c>
      <c r="AC20" s="37">
        <f>VLOOKUP(AA$6,Data!$A$3:$G$8,5,FALSE)+IF($B20=refund_inc_year,refund_inc,0)</f>
        <v>0.08</v>
      </c>
      <c r="AD20" s="58">
        <f t="shared" si="11"/>
        <v>819.54329166432785</v>
      </c>
      <c r="AE20" s="75">
        <f>AD20*VLOOKUP(AA$6,Data!$A$4:$G$8,2,FALSE)</f>
        <v>8195.4329166432781</v>
      </c>
      <c r="AF20" s="75">
        <f t="shared" si="12"/>
        <v>19976.367734317988</v>
      </c>
      <c r="AG20" s="61">
        <f t="shared" si="13"/>
        <v>45772.584961086963</v>
      </c>
      <c r="AH20" s="60">
        <f>'Combined Admin'!D19</f>
        <v>17500</v>
      </c>
      <c r="AI20" s="60">
        <f t="shared" si="0"/>
        <v>0</v>
      </c>
      <c r="AJ20" s="60">
        <f t="shared" si="14"/>
        <v>17500</v>
      </c>
      <c r="AK20" s="60">
        <f t="shared" si="15"/>
        <v>28272.584961086963</v>
      </c>
      <c r="AL20" s="62">
        <f t="shared" si="1"/>
        <v>1050436.7169981052</v>
      </c>
    </row>
    <row r="21" spans="1:38" x14ac:dyDescent="0.25">
      <c r="A21" s="2">
        <v>14</v>
      </c>
      <c r="B21" s="36">
        <f t="shared" si="2"/>
        <v>2</v>
      </c>
      <c r="C21" s="11">
        <f>C20*(1+VLOOKUP(C$6,Data!$A$3:$G$8,6,0))^(1/12)</f>
        <v>4643.3289571715131</v>
      </c>
      <c r="D21" s="59">
        <f>C21*VLOOKUP(C$6,Data!$A$4:$G$8,3,FALSE)</f>
        <v>2321.6644785857566</v>
      </c>
      <c r="E21" s="37">
        <f>VLOOKUP(C$6,Data!$A$3:$G$8,5,FALSE)+IF($B21=refund_inc_year,refund_inc,0)</f>
        <v>7.0000000000000007E-2</v>
      </c>
      <c r="F21" s="58">
        <f t="shared" si="3"/>
        <v>325.03302700200595</v>
      </c>
      <c r="G21" s="75">
        <f>F21*VLOOKUP(C$6,Data!$A$4:$G$8,2,FALSE)</f>
        <v>1625.1651350100296</v>
      </c>
      <c r="H21" s="75">
        <f t="shared" si="4"/>
        <v>696.49934357572693</v>
      </c>
      <c r="I21" s="11">
        <f>I20*(1+VLOOKUP(I$6,Data!$A$3:$G$8,6,0))^(1/12)</f>
        <v>9142.9150497776718</v>
      </c>
      <c r="J21" s="59">
        <f>I21*VLOOKUP(I$6,Data!$A$4:$G$8,3,FALSE)</f>
        <v>2742.8745149333013</v>
      </c>
      <c r="K21" s="37">
        <f>VLOOKUP(I$6,Data!$A$3:$G$8,5,FALSE)+IF($B21=refund_inc_year,refund_inc,0)</f>
        <v>0.06</v>
      </c>
      <c r="L21" s="58">
        <f t="shared" si="5"/>
        <v>548.57490298666028</v>
      </c>
      <c r="M21" s="75">
        <f>L21*VLOOKUP(I$6,Data!$A$4:$G$8,2,FALSE)</f>
        <v>3291.4494179199619</v>
      </c>
      <c r="N21" s="75">
        <f t="shared" si="6"/>
        <v>-548.57490298666062</v>
      </c>
      <c r="O21" s="11">
        <f>O20*(1+VLOOKUP(O$6,Data!$A$3:$G$8,6,0))^(1/12)</f>
        <v>8102.3497630307456</v>
      </c>
      <c r="P21" s="59">
        <f>O21*VLOOKUP(O$6,Data!$A$4:$G$8,3,FALSE)</f>
        <v>8102.3497630307456</v>
      </c>
      <c r="Q21" s="37">
        <f>VLOOKUP(O$6,Data!$A$3:$G$8,5,FALSE)+IF($B21=refund_inc_year,refund_inc,0)</f>
        <v>0.05</v>
      </c>
      <c r="R21" s="58">
        <f t="shared" si="7"/>
        <v>405.11748815153732</v>
      </c>
      <c r="S21" s="75">
        <f>R21*VLOOKUP(O$6,Data!$A$4:$G$8,2,FALSE)</f>
        <v>3038.38116113653</v>
      </c>
      <c r="T21" s="75">
        <f t="shared" si="8"/>
        <v>5063.9686018942157</v>
      </c>
      <c r="U21" s="11">
        <f>U20*(1+VLOOKUP(U$6,Data!$A$3:$G$8,6,0))^(1/12)</f>
        <v>10834.434233400198</v>
      </c>
      <c r="V21" s="59">
        <f>U21*VLOOKUP(U$6,Data!$A$4:$G$8,3,FALSE)</f>
        <v>27086.085583500495</v>
      </c>
      <c r="W21" s="37">
        <f>VLOOKUP(U$6,Data!$A$3:$G$8,5,FALSE)+IF($B21=refund_inc_year,refund_inc,0)</f>
        <v>7.0000000000000007E-2</v>
      </c>
      <c r="X21" s="58">
        <f t="shared" si="9"/>
        <v>758.41039633801392</v>
      </c>
      <c r="Y21" s="75">
        <f>X21*VLOOKUP(U$6,Data!$A$4:$G$8,2,FALSE)</f>
        <v>6446.4883688731188</v>
      </c>
      <c r="Z21" s="75">
        <f t="shared" si="10"/>
        <v>20639.597214627378</v>
      </c>
      <c r="AA21" s="11">
        <f>AA20*(1+VLOOKUP(AA$6,Data!$A$3:$G$8,6,0))^(1/12)</f>
        <v>10269.556331395674</v>
      </c>
      <c r="AB21" s="59">
        <f>AA21*VLOOKUP(AA$6,Data!$A$4:$G$8,3,FALSE)</f>
        <v>28241.279911338104</v>
      </c>
      <c r="AC21" s="37">
        <f>VLOOKUP(AA$6,Data!$A$3:$G$8,5,FALSE)+IF($B21=refund_inc_year,refund_inc,0)</f>
        <v>0.08</v>
      </c>
      <c r="AD21" s="58">
        <f t="shared" si="11"/>
        <v>821.56450651165392</v>
      </c>
      <c r="AE21" s="75">
        <f>AD21*VLOOKUP(AA$6,Data!$A$4:$G$8,2,FALSE)</f>
        <v>8215.6450651165396</v>
      </c>
      <c r="AF21" s="75">
        <f t="shared" si="12"/>
        <v>20025.634846221565</v>
      </c>
      <c r="AG21" s="61">
        <f t="shared" si="13"/>
        <v>45877.125103332219</v>
      </c>
      <c r="AH21" s="60">
        <f>'Combined Admin'!D20</f>
        <v>17500</v>
      </c>
      <c r="AI21" s="60">
        <f t="shared" si="0"/>
        <v>0</v>
      </c>
      <c r="AJ21" s="60">
        <f t="shared" si="14"/>
        <v>17500</v>
      </c>
      <c r="AK21" s="60">
        <f t="shared" si="15"/>
        <v>28377.125103332219</v>
      </c>
      <c r="AL21" s="62">
        <f t="shared" si="1"/>
        <v>1028513.9369314146</v>
      </c>
    </row>
    <row r="22" spans="1:38" x14ac:dyDescent="0.25">
      <c r="A22" s="2">
        <v>15</v>
      </c>
      <c r="B22" s="36">
        <f t="shared" si="2"/>
        <v>2</v>
      </c>
      <c r="C22" s="11">
        <f>C21*(1+VLOOKUP(C$6,Data!$A$3:$G$8,6,0))^(1/12)</f>
        <v>4650.9977924558425</v>
      </c>
      <c r="D22" s="59">
        <f>C22*VLOOKUP(C$6,Data!$A$4:$G$8,3,FALSE)</f>
        <v>2325.4988962279213</v>
      </c>
      <c r="E22" s="37">
        <f>VLOOKUP(C$6,Data!$A$3:$G$8,5,FALSE)+IF($B22=refund_inc_year,refund_inc,0)</f>
        <v>7.0000000000000007E-2</v>
      </c>
      <c r="F22" s="58">
        <f t="shared" si="3"/>
        <v>325.56984547190899</v>
      </c>
      <c r="G22" s="75">
        <f>F22*VLOOKUP(C$6,Data!$A$4:$G$8,2,FALSE)</f>
        <v>1627.849227359545</v>
      </c>
      <c r="H22" s="75">
        <f t="shared" si="4"/>
        <v>697.64966886837624</v>
      </c>
      <c r="I22" s="11">
        <f>I21*(1+VLOOKUP(I$6,Data!$A$3:$G$8,6,0))^(1/12)</f>
        <v>9150.4994462876912</v>
      </c>
      <c r="J22" s="59">
        <f>I22*VLOOKUP(I$6,Data!$A$4:$G$8,3,FALSE)</f>
        <v>2745.1498338863071</v>
      </c>
      <c r="K22" s="37">
        <f>VLOOKUP(I$6,Data!$A$3:$G$8,5,FALSE)+IF($B22=refund_inc_year,refund_inc,0)</f>
        <v>0.06</v>
      </c>
      <c r="L22" s="58">
        <f t="shared" si="5"/>
        <v>549.02996677726151</v>
      </c>
      <c r="M22" s="75">
        <f>L22*VLOOKUP(I$6,Data!$A$4:$G$8,2,FALSE)</f>
        <v>3294.179800663569</v>
      </c>
      <c r="N22" s="75">
        <f t="shared" si="6"/>
        <v>-549.02996677726196</v>
      </c>
      <c r="O22" s="11">
        <f>O21*(1+VLOOKUP(O$6,Data!$A$3:$G$8,6,0))^(1/12)</f>
        <v>8135.3597389037468</v>
      </c>
      <c r="P22" s="59">
        <f>O22*VLOOKUP(O$6,Data!$A$4:$G$8,3,FALSE)</f>
        <v>8135.3597389037468</v>
      </c>
      <c r="Q22" s="37">
        <f>VLOOKUP(O$6,Data!$A$3:$G$8,5,FALSE)+IF($B22=refund_inc_year,refund_inc,0)</f>
        <v>0.05</v>
      </c>
      <c r="R22" s="58">
        <f t="shared" si="7"/>
        <v>406.76798694518737</v>
      </c>
      <c r="S22" s="75">
        <f>R22*VLOOKUP(O$6,Data!$A$4:$G$8,2,FALSE)</f>
        <v>3050.7599020889052</v>
      </c>
      <c r="T22" s="75">
        <f t="shared" si="8"/>
        <v>5084.5998368148412</v>
      </c>
      <c r="U22" s="11">
        <f>U21*(1+VLOOKUP(U$6,Data!$A$3:$G$8,6,0))^(1/12)</f>
        <v>10852.328182396966</v>
      </c>
      <c r="V22" s="59">
        <f>U22*VLOOKUP(U$6,Data!$A$4:$G$8,3,FALSE)</f>
        <v>27130.820455992416</v>
      </c>
      <c r="W22" s="37">
        <f>VLOOKUP(U$6,Data!$A$3:$G$8,5,FALSE)+IF($B22=refund_inc_year,refund_inc,0)</f>
        <v>7.0000000000000007E-2</v>
      </c>
      <c r="X22" s="58">
        <f t="shared" si="9"/>
        <v>759.66297276778778</v>
      </c>
      <c r="Y22" s="75">
        <f>X22*VLOOKUP(U$6,Data!$A$4:$G$8,2,FALSE)</f>
        <v>6457.1352685261963</v>
      </c>
      <c r="Z22" s="75">
        <f t="shared" si="10"/>
        <v>20673.685187466221</v>
      </c>
      <c r="AA22" s="11">
        <f>AA21*(1+VLOOKUP(AA$6,Data!$A$3:$G$8,6,0))^(1/12)</f>
        <v>10294.883827750764</v>
      </c>
      <c r="AB22" s="59">
        <f>AA22*VLOOKUP(AA$6,Data!$A$4:$G$8,3,FALSE)</f>
        <v>28310.930526314602</v>
      </c>
      <c r="AC22" s="37">
        <f>VLOOKUP(AA$6,Data!$A$3:$G$8,5,FALSE)+IF($B22=refund_inc_year,refund_inc,0)</f>
        <v>0.08</v>
      </c>
      <c r="AD22" s="58">
        <f t="shared" si="11"/>
        <v>823.59070622006118</v>
      </c>
      <c r="AE22" s="75">
        <f>AD22*VLOOKUP(AA$6,Data!$A$4:$G$8,2,FALSE)</f>
        <v>8235.9070622006111</v>
      </c>
      <c r="AF22" s="75">
        <f t="shared" si="12"/>
        <v>20075.02346411399</v>
      </c>
      <c r="AG22" s="61">
        <f t="shared" si="13"/>
        <v>45981.928190486171</v>
      </c>
      <c r="AH22" s="60">
        <f>'Combined Admin'!D21</f>
        <v>17500</v>
      </c>
      <c r="AI22" s="60">
        <f t="shared" si="0"/>
        <v>0</v>
      </c>
      <c r="AJ22" s="60">
        <f t="shared" si="14"/>
        <v>17500</v>
      </c>
      <c r="AK22" s="60">
        <f t="shared" si="15"/>
        <v>28481.928190486171</v>
      </c>
      <c r="AL22" s="62">
        <f t="shared" si="1"/>
        <v>1006354.0952921883</v>
      </c>
    </row>
    <row r="23" spans="1:38" x14ac:dyDescent="0.25">
      <c r="A23" s="2">
        <v>16</v>
      </c>
      <c r="B23" s="36">
        <f t="shared" si="2"/>
        <v>2</v>
      </c>
      <c r="C23" s="11">
        <f>C22*(1+VLOOKUP(C$6,Data!$A$3:$G$8,6,0))^(1/12)</f>
        <v>4658.679293445135</v>
      </c>
      <c r="D23" s="59">
        <f>C23*VLOOKUP(C$6,Data!$A$4:$G$8,3,FALSE)</f>
        <v>2329.3396467225675</v>
      </c>
      <c r="E23" s="37">
        <f>VLOOKUP(C$6,Data!$A$3:$G$8,5,FALSE)+IF($B23=refund_inc_year,refund_inc,0)</f>
        <v>7.0000000000000007E-2</v>
      </c>
      <c r="F23" s="58">
        <f t="shared" si="3"/>
        <v>326.10755054115947</v>
      </c>
      <c r="G23" s="75">
        <f>F23*VLOOKUP(C$6,Data!$A$4:$G$8,2,FALSE)</f>
        <v>1630.5377527057974</v>
      </c>
      <c r="H23" s="75">
        <f t="shared" si="4"/>
        <v>698.80189401677012</v>
      </c>
      <c r="I23" s="11">
        <f>I22*(1+VLOOKUP(I$6,Data!$A$3:$G$8,6,0))^(1/12)</f>
        <v>9158.0901343436908</v>
      </c>
      <c r="J23" s="59">
        <f>I23*VLOOKUP(I$6,Data!$A$4:$G$8,3,FALSE)</f>
        <v>2747.4270403031073</v>
      </c>
      <c r="K23" s="37">
        <f>VLOOKUP(I$6,Data!$A$3:$G$8,5,FALSE)+IF($B23=refund_inc_year,refund_inc,0)</f>
        <v>0.06</v>
      </c>
      <c r="L23" s="58">
        <f t="shared" si="5"/>
        <v>549.48540806062147</v>
      </c>
      <c r="M23" s="75">
        <f>L23*VLOOKUP(I$6,Data!$A$4:$G$8,2,FALSE)</f>
        <v>3296.9124483637288</v>
      </c>
      <c r="N23" s="75">
        <f t="shared" si="6"/>
        <v>-549.48540806062147</v>
      </c>
      <c r="O23" s="11">
        <f>O22*(1+VLOOKUP(O$6,Data!$A$3:$G$8,6,0))^(1/12)</f>
        <v>8168.5042015045501</v>
      </c>
      <c r="P23" s="59">
        <f>O23*VLOOKUP(O$6,Data!$A$4:$G$8,3,FALSE)</f>
        <v>8168.5042015045501</v>
      </c>
      <c r="Q23" s="37">
        <f>VLOOKUP(O$6,Data!$A$3:$G$8,5,FALSE)+IF($B23=refund_inc_year,refund_inc,0)</f>
        <v>0.05</v>
      </c>
      <c r="R23" s="58">
        <f t="shared" si="7"/>
        <v>408.42521007522754</v>
      </c>
      <c r="S23" s="75">
        <f>R23*VLOOKUP(O$6,Data!$A$4:$G$8,2,FALSE)</f>
        <v>3063.1890755642066</v>
      </c>
      <c r="T23" s="75">
        <f t="shared" si="8"/>
        <v>5105.3151259403439</v>
      </c>
      <c r="U23" s="11">
        <f>U22*(1+VLOOKUP(U$6,Data!$A$3:$G$8,6,0))^(1/12)</f>
        <v>10870.251684705316</v>
      </c>
      <c r="V23" s="59">
        <f>U23*VLOOKUP(U$6,Data!$A$4:$G$8,3,FALSE)</f>
        <v>27175.629211763291</v>
      </c>
      <c r="W23" s="37">
        <f>VLOOKUP(U$6,Data!$A$3:$G$8,5,FALSE)+IF($B23=refund_inc_year,refund_inc,0)</f>
        <v>7.0000000000000007E-2</v>
      </c>
      <c r="X23" s="58">
        <f t="shared" si="9"/>
        <v>760.91761792937223</v>
      </c>
      <c r="Y23" s="75">
        <f>X23*VLOOKUP(U$6,Data!$A$4:$G$8,2,FALSE)</f>
        <v>6467.7997523996637</v>
      </c>
      <c r="Z23" s="75">
        <f t="shared" si="10"/>
        <v>20707.829459363627</v>
      </c>
      <c r="AA23" s="11">
        <f>AA22*(1+VLOOKUP(AA$6,Data!$A$3:$G$8,6,0))^(1/12)</f>
        <v>10320.273788544524</v>
      </c>
      <c r="AB23" s="59">
        <f>AA23*VLOOKUP(AA$6,Data!$A$4:$G$8,3,FALSE)</f>
        <v>28380.752918497441</v>
      </c>
      <c r="AC23" s="37">
        <f>VLOOKUP(AA$6,Data!$A$3:$G$8,5,FALSE)+IF($B23=refund_inc_year,refund_inc,0)</f>
        <v>0.08</v>
      </c>
      <c r="AD23" s="58">
        <f t="shared" si="11"/>
        <v>825.62190308356196</v>
      </c>
      <c r="AE23" s="75">
        <f>AD23*VLOOKUP(AA$6,Data!$A$4:$G$8,2,FALSE)</f>
        <v>8256.2190308356203</v>
      </c>
      <c r="AF23" s="75">
        <f t="shared" si="12"/>
        <v>20124.533887661819</v>
      </c>
      <c r="AG23" s="61">
        <f t="shared" si="13"/>
        <v>46086.99495892194</v>
      </c>
      <c r="AH23" s="60">
        <f>'Combined Admin'!D22</f>
        <v>17500</v>
      </c>
      <c r="AI23" s="60">
        <f t="shared" si="0"/>
        <v>0</v>
      </c>
      <c r="AJ23" s="60">
        <f t="shared" si="14"/>
        <v>17500</v>
      </c>
      <c r="AK23" s="60">
        <f t="shared" si="15"/>
        <v>28586.99495892194</v>
      </c>
      <c r="AL23" s="62">
        <f t="shared" si="1"/>
        <v>983955.49611750781</v>
      </c>
    </row>
    <row r="24" spans="1:38" x14ac:dyDescent="0.25">
      <c r="A24" s="2">
        <v>17</v>
      </c>
      <c r="B24" s="36">
        <f t="shared" si="2"/>
        <v>2</v>
      </c>
      <c r="C24" s="11">
        <f>C23*(1+VLOOKUP(C$6,Data!$A$3:$G$8,6,0))^(1/12)</f>
        <v>4666.3734810578317</v>
      </c>
      <c r="D24" s="59">
        <f>C24*VLOOKUP(C$6,Data!$A$4:$G$8,3,FALSE)</f>
        <v>2333.1867405289158</v>
      </c>
      <c r="E24" s="37">
        <f>VLOOKUP(C$6,Data!$A$3:$G$8,5,FALSE)+IF($B24=refund_inc_year,refund_inc,0)</f>
        <v>7.0000000000000007E-2</v>
      </c>
      <c r="F24" s="58">
        <f t="shared" si="3"/>
        <v>326.64614367404823</v>
      </c>
      <c r="G24" s="75">
        <f>F24*VLOOKUP(C$6,Data!$A$4:$G$8,2,FALSE)</f>
        <v>1633.2307183702412</v>
      </c>
      <c r="H24" s="75">
        <f t="shared" si="4"/>
        <v>699.95602215867461</v>
      </c>
      <c r="I24" s="11">
        <f>I23*(1+VLOOKUP(I$6,Data!$A$3:$G$8,6,0))^(1/12)</f>
        <v>9165.687119164746</v>
      </c>
      <c r="J24" s="59">
        <f>I24*VLOOKUP(I$6,Data!$A$4:$G$8,3,FALSE)</f>
        <v>2749.7061357494235</v>
      </c>
      <c r="K24" s="37">
        <f>VLOOKUP(I$6,Data!$A$3:$G$8,5,FALSE)+IF($B24=refund_inc_year,refund_inc,0)</f>
        <v>0.06</v>
      </c>
      <c r="L24" s="58">
        <f t="shared" si="5"/>
        <v>549.94122714988475</v>
      </c>
      <c r="M24" s="75">
        <f>L24*VLOOKUP(I$6,Data!$A$4:$G$8,2,FALSE)</f>
        <v>3299.6473628993085</v>
      </c>
      <c r="N24" s="75">
        <f t="shared" si="6"/>
        <v>-549.94122714988498</v>
      </c>
      <c r="O24" s="11">
        <f>O23*(1+VLOOKUP(O$6,Data!$A$3:$G$8,6,0))^(1/12)</f>
        <v>8201.7836987487317</v>
      </c>
      <c r="P24" s="59">
        <f>O24*VLOOKUP(O$6,Data!$A$4:$G$8,3,FALSE)</f>
        <v>8201.7836987487317</v>
      </c>
      <c r="Q24" s="37">
        <f>VLOOKUP(O$6,Data!$A$3:$G$8,5,FALSE)+IF($B24=refund_inc_year,refund_inc,0)</f>
        <v>0.05</v>
      </c>
      <c r="R24" s="58">
        <f t="shared" si="7"/>
        <v>410.08918493743658</v>
      </c>
      <c r="S24" s="75">
        <f>R24*VLOOKUP(O$6,Data!$A$4:$G$8,2,FALSE)</f>
        <v>3075.6688870307744</v>
      </c>
      <c r="T24" s="75">
        <f t="shared" si="8"/>
        <v>5126.1148117179573</v>
      </c>
      <c r="U24" s="11">
        <f>U23*(1+VLOOKUP(U$6,Data!$A$3:$G$8,6,0))^(1/12)</f>
        <v>10888.204789134941</v>
      </c>
      <c r="V24" s="59">
        <f>U24*VLOOKUP(U$6,Data!$A$4:$G$8,3,FALSE)</f>
        <v>27220.511972837354</v>
      </c>
      <c r="W24" s="37">
        <f>VLOOKUP(U$6,Data!$A$3:$G$8,5,FALSE)+IF($B24=refund_inc_year,refund_inc,0)</f>
        <v>7.0000000000000007E-2</v>
      </c>
      <c r="X24" s="58">
        <f t="shared" si="9"/>
        <v>762.17433523944601</v>
      </c>
      <c r="Y24" s="75">
        <f>X24*VLOOKUP(U$6,Data!$A$4:$G$8,2,FALSE)</f>
        <v>6478.4818495352911</v>
      </c>
      <c r="Z24" s="75">
        <f t="shared" si="10"/>
        <v>20742.030123302062</v>
      </c>
      <c r="AA24" s="11">
        <f>AA23*(1+VLOOKUP(AA$6,Data!$A$3:$G$8,6,0))^(1/12)</f>
        <v>10345.72636783111</v>
      </c>
      <c r="AB24" s="59">
        <f>AA24*VLOOKUP(AA$6,Data!$A$4:$G$8,3,FALSE)</f>
        <v>28450.747511535552</v>
      </c>
      <c r="AC24" s="37">
        <f>VLOOKUP(AA$6,Data!$A$3:$G$8,5,FALSE)+IF($B24=refund_inc_year,refund_inc,0)</f>
        <v>0.08</v>
      </c>
      <c r="AD24" s="58">
        <f t="shared" si="11"/>
        <v>827.65810942648886</v>
      </c>
      <c r="AE24" s="75">
        <f>AD24*VLOOKUP(AA$6,Data!$A$4:$G$8,2,FALSE)</f>
        <v>8276.5810942648895</v>
      </c>
      <c r="AF24" s="75">
        <f t="shared" si="12"/>
        <v>20174.166417270662</v>
      </c>
      <c r="AG24" s="61">
        <f t="shared" si="13"/>
        <v>46192.326147299471</v>
      </c>
      <c r="AH24" s="60">
        <f>'Combined Admin'!D23</f>
        <v>17500</v>
      </c>
      <c r="AI24" s="60">
        <f t="shared" si="0"/>
        <v>0</v>
      </c>
      <c r="AJ24" s="60">
        <f t="shared" si="14"/>
        <v>17500</v>
      </c>
      <c r="AK24" s="60">
        <f t="shared" si="15"/>
        <v>28692.326147299471</v>
      </c>
      <c r="AL24" s="62">
        <f t="shared" si="1"/>
        <v>961316.43245612306</v>
      </c>
    </row>
    <row r="25" spans="1:38" x14ac:dyDescent="0.25">
      <c r="A25" s="2">
        <v>18</v>
      </c>
      <c r="B25" s="36">
        <f t="shared" si="2"/>
        <v>2</v>
      </c>
      <c r="C25" s="11">
        <f>C24*(1+VLOOKUP(C$6,Data!$A$3:$G$8,6,0))^(1/12)</f>
        <v>4674.0803762469232</v>
      </c>
      <c r="D25" s="59">
        <f>C25*VLOOKUP(C$6,Data!$A$4:$G$8,3,FALSE)</f>
        <v>2337.0401881234616</v>
      </c>
      <c r="E25" s="37">
        <f>VLOOKUP(C$6,Data!$A$3:$G$8,5,FALSE)+IF($B25=refund_inc_year,refund_inc,0)</f>
        <v>7.0000000000000007E-2</v>
      </c>
      <c r="F25" s="58">
        <f t="shared" si="3"/>
        <v>327.18562633728465</v>
      </c>
      <c r="G25" s="75">
        <f>F25*VLOOKUP(C$6,Data!$A$4:$G$8,2,FALSE)</f>
        <v>1635.9281316864233</v>
      </c>
      <c r="H25" s="75">
        <f t="shared" si="4"/>
        <v>701.11205643703829</v>
      </c>
      <c r="I25" s="11">
        <f>I24*(1+VLOOKUP(I$6,Data!$A$3:$G$8,6,0))^(1/12)</f>
        <v>9173.290405974265</v>
      </c>
      <c r="J25" s="59">
        <f>I25*VLOOKUP(I$6,Data!$A$4:$G$8,3,FALSE)</f>
        <v>2751.9871217922796</v>
      </c>
      <c r="K25" s="37">
        <f>VLOOKUP(I$6,Data!$A$3:$G$8,5,FALSE)+IF($B25=refund_inc_year,refund_inc,0)</f>
        <v>0.06</v>
      </c>
      <c r="L25" s="58">
        <f t="shared" si="5"/>
        <v>550.39742435845585</v>
      </c>
      <c r="M25" s="75">
        <f>L25*VLOOKUP(I$6,Data!$A$4:$G$8,2,FALSE)</f>
        <v>3302.3845461507353</v>
      </c>
      <c r="N25" s="75">
        <f t="shared" si="6"/>
        <v>-550.39742435845574</v>
      </c>
      <c r="O25" s="11">
        <f>O24*(1+VLOOKUP(O$6,Data!$A$3:$G$8,6,0))^(1/12)</f>
        <v>8235.1987807841433</v>
      </c>
      <c r="P25" s="59">
        <f>O25*VLOOKUP(O$6,Data!$A$4:$G$8,3,FALSE)</f>
        <v>8235.1987807841433</v>
      </c>
      <c r="Q25" s="37">
        <f>VLOOKUP(O$6,Data!$A$3:$G$8,5,FALSE)+IF($B25=refund_inc_year,refund_inc,0)</f>
        <v>0.05</v>
      </c>
      <c r="R25" s="58">
        <f t="shared" si="7"/>
        <v>411.75993903920721</v>
      </c>
      <c r="S25" s="75">
        <f>R25*VLOOKUP(O$6,Data!$A$4:$G$8,2,FALSE)</f>
        <v>3088.1995427940542</v>
      </c>
      <c r="T25" s="75">
        <f t="shared" si="8"/>
        <v>5146.9992379900887</v>
      </c>
      <c r="U25" s="11">
        <f>U24*(1+VLOOKUP(U$6,Data!$A$3:$G$8,6,0))^(1/12)</f>
        <v>10906.187544576154</v>
      </c>
      <c r="V25" s="59">
        <f>U25*VLOOKUP(U$6,Data!$A$4:$G$8,3,FALSE)</f>
        <v>27265.468861440386</v>
      </c>
      <c r="W25" s="37">
        <f>VLOOKUP(U$6,Data!$A$3:$G$8,5,FALSE)+IF($B25=refund_inc_year,refund_inc,0)</f>
        <v>7.0000000000000007E-2</v>
      </c>
      <c r="X25" s="58">
        <f t="shared" si="9"/>
        <v>763.43312812033082</v>
      </c>
      <c r="Y25" s="75">
        <f>X25*VLOOKUP(U$6,Data!$A$4:$G$8,2,FALSE)</f>
        <v>6489.1815890228117</v>
      </c>
      <c r="Z25" s="75">
        <f t="shared" si="10"/>
        <v>20776.287272417576</v>
      </c>
      <c r="AA25" s="11">
        <f>AA24*(1+VLOOKUP(AA$6,Data!$A$3:$G$8,6,0))^(1/12)</f>
        <v>10371.241720044618</v>
      </c>
      <c r="AB25" s="59">
        <f>AA25*VLOOKUP(AA$6,Data!$A$4:$G$8,3,FALSE)</f>
        <v>28520.914730122699</v>
      </c>
      <c r="AC25" s="37">
        <f>VLOOKUP(AA$6,Data!$A$3:$G$8,5,FALSE)+IF($B25=refund_inc_year,refund_inc,0)</f>
        <v>0.08</v>
      </c>
      <c r="AD25" s="58">
        <f t="shared" si="11"/>
        <v>829.69933760356946</v>
      </c>
      <c r="AE25" s="75">
        <f>AD25*VLOOKUP(AA$6,Data!$A$4:$G$8,2,FALSE)</f>
        <v>8296.9933760356944</v>
      </c>
      <c r="AF25" s="75">
        <f t="shared" si="12"/>
        <v>20223.921354087004</v>
      </c>
      <c r="AG25" s="61">
        <f t="shared" si="13"/>
        <v>46297.92249657325</v>
      </c>
      <c r="AH25" s="60">
        <f>'Combined Admin'!D24</f>
        <v>17500</v>
      </c>
      <c r="AI25" s="60">
        <f t="shared" si="0"/>
        <v>0</v>
      </c>
      <c r="AJ25" s="60">
        <f t="shared" si="14"/>
        <v>17500</v>
      </c>
      <c r="AK25" s="60">
        <f t="shared" si="15"/>
        <v>28797.92249657325</v>
      </c>
      <c r="AL25" s="62">
        <f t="shared" si="1"/>
        <v>938435.18629974185</v>
      </c>
    </row>
    <row r="26" spans="1:38" x14ac:dyDescent="0.25">
      <c r="A26" s="2">
        <v>19</v>
      </c>
      <c r="B26" s="36">
        <f t="shared" si="2"/>
        <v>2</v>
      </c>
      <c r="C26" s="11">
        <f>C25*(1+VLOOKUP(C$6,Data!$A$3:$G$8,6,0))^(1/12)</f>
        <v>4681.8000000000047</v>
      </c>
      <c r="D26" s="59">
        <f>C26*VLOOKUP(C$6,Data!$A$4:$G$8,3,FALSE)</f>
        <v>2340.9000000000024</v>
      </c>
      <c r="E26" s="37">
        <f>VLOOKUP(C$6,Data!$A$3:$G$8,5,FALSE)+IF($B26=refund_inc_year,refund_inc,0)</f>
        <v>7.0000000000000007E-2</v>
      </c>
      <c r="F26" s="58">
        <f t="shared" si="3"/>
        <v>327.72600000000034</v>
      </c>
      <c r="G26" s="75">
        <f>F26*VLOOKUP(C$6,Data!$A$4:$G$8,2,FALSE)</f>
        <v>1638.6300000000017</v>
      </c>
      <c r="H26" s="75">
        <f t="shared" si="4"/>
        <v>702.27000000000066</v>
      </c>
      <c r="I26" s="11">
        <f>I25*(1+VLOOKUP(I$6,Data!$A$3:$G$8,6,0))^(1/12)</f>
        <v>9180.8999999999869</v>
      </c>
      <c r="J26" s="59">
        <f>I26*VLOOKUP(I$6,Data!$A$4:$G$8,3,FALSE)</f>
        <v>2754.2699999999959</v>
      </c>
      <c r="K26" s="37">
        <f>VLOOKUP(I$6,Data!$A$3:$G$8,5,FALSE)+IF($B26=refund_inc_year,refund_inc,0)</f>
        <v>0.06</v>
      </c>
      <c r="L26" s="58">
        <f t="shared" si="5"/>
        <v>550.85399999999925</v>
      </c>
      <c r="M26" s="75">
        <f>L26*VLOOKUP(I$6,Data!$A$4:$G$8,2,FALSE)</f>
        <v>3305.1239999999952</v>
      </c>
      <c r="N26" s="75">
        <f t="shared" si="6"/>
        <v>-550.85399999999936</v>
      </c>
      <c r="O26" s="11">
        <f>O25*(1+VLOOKUP(O$6,Data!$A$3:$G$8,6,0))^(1/12)</f>
        <v>8268.7500000000073</v>
      </c>
      <c r="P26" s="59">
        <f>O26*VLOOKUP(O$6,Data!$A$4:$G$8,3,FALSE)</f>
        <v>8268.7500000000073</v>
      </c>
      <c r="Q26" s="37">
        <f>VLOOKUP(O$6,Data!$A$3:$G$8,5,FALSE)+IF($B26=refund_inc_year,refund_inc,0)</f>
        <v>0.05</v>
      </c>
      <c r="R26" s="58">
        <f t="shared" si="7"/>
        <v>413.4375000000004</v>
      </c>
      <c r="S26" s="75">
        <f>R26*VLOOKUP(O$6,Data!$A$4:$G$8,2,FALSE)</f>
        <v>3100.7812500000032</v>
      </c>
      <c r="T26" s="75">
        <f t="shared" si="8"/>
        <v>5167.9687500000036</v>
      </c>
      <c r="U26" s="11">
        <f>U25*(1+VLOOKUP(U$6,Data!$A$3:$G$8,6,0))^(1/12)</f>
        <v>10924.200000000012</v>
      </c>
      <c r="V26" s="59">
        <f>U26*VLOOKUP(U$6,Data!$A$4:$G$8,3,FALSE)</f>
        <v>27310.500000000029</v>
      </c>
      <c r="W26" s="37">
        <f>VLOOKUP(U$6,Data!$A$3:$G$8,5,FALSE)+IF($B26=refund_inc_year,refund_inc,0)</f>
        <v>7.0000000000000007E-2</v>
      </c>
      <c r="X26" s="58">
        <f t="shared" si="9"/>
        <v>764.69400000000087</v>
      </c>
      <c r="Y26" s="75">
        <f>X26*VLOOKUP(U$6,Data!$A$4:$G$8,2,FALSE)</f>
        <v>6499.8990000000076</v>
      </c>
      <c r="Z26" s="75">
        <f t="shared" si="10"/>
        <v>20810.601000000021</v>
      </c>
      <c r="AA26" s="11">
        <f>AA25*(1+VLOOKUP(AA$6,Data!$A$3:$G$8,6,0))^(1/12)</f>
        <v>10396.82000000002</v>
      </c>
      <c r="AB26" s="59">
        <f>AA26*VLOOKUP(AA$6,Data!$A$4:$G$8,3,FALSE)</f>
        <v>28591.255000000056</v>
      </c>
      <c r="AC26" s="37">
        <f>VLOOKUP(AA$6,Data!$A$3:$G$8,5,FALSE)+IF($B26=refund_inc_year,refund_inc,0)</f>
        <v>0.08</v>
      </c>
      <c r="AD26" s="58">
        <f t="shared" si="11"/>
        <v>831.74560000000156</v>
      </c>
      <c r="AE26" s="75">
        <f>AD26*VLOOKUP(AA$6,Data!$A$4:$G$8,2,FALSE)</f>
        <v>8317.4560000000165</v>
      </c>
      <c r="AF26" s="75">
        <f t="shared" si="12"/>
        <v>20273.799000000039</v>
      </c>
      <c r="AG26" s="61">
        <f t="shared" si="13"/>
        <v>46403.784750000064</v>
      </c>
      <c r="AH26" s="60">
        <f>'Combined Admin'!D25</f>
        <v>17500</v>
      </c>
      <c r="AI26" s="60">
        <f t="shared" si="0"/>
        <v>0</v>
      </c>
      <c r="AJ26" s="60">
        <f t="shared" si="14"/>
        <v>17500</v>
      </c>
      <c r="AK26" s="60">
        <f t="shared" si="15"/>
        <v>28903.784750000064</v>
      </c>
      <c r="AL26" s="62">
        <f t="shared" si="1"/>
        <v>915310.02851389663</v>
      </c>
    </row>
    <row r="27" spans="1:38" x14ac:dyDescent="0.25">
      <c r="A27" s="2">
        <v>20</v>
      </c>
      <c r="B27" s="36">
        <f t="shared" si="2"/>
        <v>2</v>
      </c>
      <c r="C27" s="11">
        <f>C26*(1+VLOOKUP(C$6,Data!$A$3:$G$8,6,0))^(1/12)</f>
        <v>4689.5323733393352</v>
      </c>
      <c r="D27" s="59">
        <f>C27*VLOOKUP(C$6,Data!$A$4:$G$8,3,FALSE)</f>
        <v>2344.7661866696676</v>
      </c>
      <c r="E27" s="37">
        <f>VLOOKUP(C$6,Data!$A$3:$G$8,5,FALSE)+IF($B27=refund_inc_year,refund_inc,0)</f>
        <v>7.0000000000000007E-2</v>
      </c>
      <c r="F27" s="58">
        <f t="shared" si="3"/>
        <v>328.26726613375348</v>
      </c>
      <c r="G27" s="75">
        <f>F27*VLOOKUP(C$6,Data!$A$4:$G$8,2,FALSE)</f>
        <v>1641.3363306687675</v>
      </c>
      <c r="H27" s="75">
        <f t="shared" si="4"/>
        <v>703.42985600090014</v>
      </c>
      <c r="I27" s="11">
        <f>I26*(1+VLOOKUP(I$6,Data!$A$3:$G$8,6,0))^(1/12)</f>
        <v>9188.5159064739873</v>
      </c>
      <c r="J27" s="59">
        <f>I27*VLOOKUP(I$6,Data!$A$4:$G$8,3,FALSE)</f>
        <v>2756.5547719421961</v>
      </c>
      <c r="K27" s="37">
        <f>VLOOKUP(I$6,Data!$A$3:$G$8,5,FALSE)+IF($B27=refund_inc_year,refund_inc,0)</f>
        <v>0.06</v>
      </c>
      <c r="L27" s="58">
        <f t="shared" si="5"/>
        <v>551.3109543884392</v>
      </c>
      <c r="M27" s="75">
        <f>L27*VLOOKUP(I$6,Data!$A$4:$G$8,2,FALSE)</f>
        <v>3307.865726330635</v>
      </c>
      <c r="N27" s="75">
        <f t="shared" si="6"/>
        <v>-551.31095438843886</v>
      </c>
      <c r="O27" s="11">
        <f>O26*(1+VLOOKUP(O$6,Data!$A$3:$G$8,6,0))^(1/12)</f>
        <v>8302.4379110360496</v>
      </c>
      <c r="P27" s="59">
        <f>O27*VLOOKUP(O$6,Data!$A$4:$G$8,3,FALSE)</f>
        <v>8302.4379110360496</v>
      </c>
      <c r="Q27" s="37">
        <f>VLOOKUP(O$6,Data!$A$3:$G$8,5,FALSE)+IF($B27=refund_inc_year,refund_inc,0)</f>
        <v>0.05</v>
      </c>
      <c r="R27" s="58">
        <f t="shared" si="7"/>
        <v>415.12189555180248</v>
      </c>
      <c r="S27" s="75">
        <f>R27*VLOOKUP(O$6,Data!$A$4:$G$8,2,FALSE)</f>
        <v>3113.4142166385186</v>
      </c>
      <c r="T27" s="75">
        <f t="shared" si="8"/>
        <v>5189.0236943975306</v>
      </c>
      <c r="U27" s="11">
        <f>U26*(1+VLOOKUP(U$6,Data!$A$3:$G$8,6,0))^(1/12)</f>
        <v>10942.242204458449</v>
      </c>
      <c r="V27" s="59">
        <f>U27*VLOOKUP(U$6,Data!$A$4:$G$8,3,FALSE)</f>
        <v>27355.605511146125</v>
      </c>
      <c r="W27" s="37">
        <f>VLOOKUP(U$6,Data!$A$3:$G$8,5,FALSE)+IF($B27=refund_inc_year,refund_inc,0)</f>
        <v>7.0000000000000007E-2</v>
      </c>
      <c r="X27" s="58">
        <f t="shared" si="9"/>
        <v>765.95695431209151</v>
      </c>
      <c r="Y27" s="75">
        <f>X27*VLOOKUP(U$6,Data!$A$4:$G$8,2,FALSE)</f>
        <v>6510.6341116527783</v>
      </c>
      <c r="Z27" s="75">
        <f t="shared" si="10"/>
        <v>20844.971399493348</v>
      </c>
      <c r="AA27" s="11">
        <f>AA26*(1+VLOOKUP(AA$6,Data!$A$3:$G$8,6,0))^(1/12)</f>
        <v>10422.461362894102</v>
      </c>
      <c r="AB27" s="59">
        <f>AA27*VLOOKUP(AA$6,Data!$A$4:$G$8,3,FALSE)</f>
        <v>28661.76874795878</v>
      </c>
      <c r="AC27" s="37">
        <f>VLOOKUP(AA$6,Data!$A$3:$G$8,5,FALSE)+IF($B27=refund_inc_year,refund_inc,0)</f>
        <v>0.08</v>
      </c>
      <c r="AD27" s="58">
        <f t="shared" si="11"/>
        <v>833.79690903152823</v>
      </c>
      <c r="AE27" s="75">
        <f>AD27*VLOOKUP(AA$6,Data!$A$4:$G$8,2,FALSE)</f>
        <v>8337.9690903152823</v>
      </c>
      <c r="AF27" s="75">
        <f t="shared" si="12"/>
        <v>20323.799657643496</v>
      </c>
      <c r="AG27" s="61">
        <f t="shared" si="13"/>
        <v>46509.913653146839</v>
      </c>
      <c r="AH27" s="60">
        <f>'Combined Admin'!D26</f>
        <v>17500</v>
      </c>
      <c r="AI27" s="60">
        <f t="shared" si="0"/>
        <v>0</v>
      </c>
      <c r="AJ27" s="60">
        <f t="shared" si="14"/>
        <v>17500</v>
      </c>
      <c r="AK27" s="60">
        <f t="shared" si="15"/>
        <v>29009.913653146839</v>
      </c>
      <c r="AL27" s="62">
        <f t="shared" si="1"/>
        <v>891939.21876838512</v>
      </c>
    </row>
    <row r="28" spans="1:38" x14ac:dyDescent="0.25">
      <c r="A28" s="2">
        <v>21</v>
      </c>
      <c r="B28" s="36">
        <f t="shared" si="2"/>
        <v>2</v>
      </c>
      <c r="C28" s="11">
        <f>C27*(1+VLOOKUP(C$6,Data!$A$3:$G$8,6,0))^(1/12)</f>
        <v>4697.2775173218924</v>
      </c>
      <c r="D28" s="59">
        <f>C28*VLOOKUP(C$6,Data!$A$4:$G$8,3,FALSE)</f>
        <v>2348.6387586609462</v>
      </c>
      <c r="E28" s="37">
        <f>VLOOKUP(C$6,Data!$A$3:$G$8,5,FALSE)+IF($B28=refund_inc_year,refund_inc,0)</f>
        <v>7.0000000000000007E-2</v>
      </c>
      <c r="F28" s="58">
        <f t="shared" si="3"/>
        <v>328.80942621253251</v>
      </c>
      <c r="G28" s="75">
        <f>F28*VLOOKUP(C$6,Data!$A$4:$G$8,2,FALSE)</f>
        <v>1644.0471310626626</v>
      </c>
      <c r="H28" s="75">
        <f t="shared" si="4"/>
        <v>704.59162759828359</v>
      </c>
      <c r="I28" s="11">
        <f>I27*(1+VLOOKUP(I$6,Data!$A$3:$G$8,6,0))^(1/12)</f>
        <v>9196.1381306326839</v>
      </c>
      <c r="J28" s="59">
        <f>I28*VLOOKUP(I$6,Data!$A$4:$G$8,3,FALSE)</f>
        <v>2758.841439189805</v>
      </c>
      <c r="K28" s="37">
        <f>VLOOKUP(I$6,Data!$A$3:$G$8,5,FALSE)+IF($B28=refund_inc_year,refund_inc,0)</f>
        <v>0.06</v>
      </c>
      <c r="L28" s="58">
        <f t="shared" si="5"/>
        <v>551.768287837961</v>
      </c>
      <c r="M28" s="75">
        <f>L28*VLOOKUP(I$6,Data!$A$4:$G$8,2,FALSE)</f>
        <v>3310.609727027766</v>
      </c>
      <c r="N28" s="75">
        <f t="shared" si="6"/>
        <v>-551.768287837961</v>
      </c>
      <c r="O28" s="11">
        <f>O27*(1+VLOOKUP(O$6,Data!$A$3:$G$8,6,0))^(1/12)</f>
        <v>8336.2630707916651</v>
      </c>
      <c r="P28" s="59">
        <f>O28*VLOOKUP(O$6,Data!$A$4:$G$8,3,FALSE)</f>
        <v>8336.2630707916651</v>
      </c>
      <c r="Q28" s="37">
        <f>VLOOKUP(O$6,Data!$A$3:$G$8,5,FALSE)+IF($B28=refund_inc_year,refund_inc,0)</f>
        <v>0.05</v>
      </c>
      <c r="R28" s="58">
        <f t="shared" si="7"/>
        <v>416.81315353958325</v>
      </c>
      <c r="S28" s="75">
        <f>R28*VLOOKUP(O$6,Data!$A$4:$G$8,2,FALSE)</f>
        <v>3126.0986515468744</v>
      </c>
      <c r="T28" s="75">
        <f t="shared" si="8"/>
        <v>5210.1644192447911</v>
      </c>
      <c r="U28" s="11">
        <f>U27*(1+VLOOKUP(U$6,Data!$A$3:$G$8,6,0))^(1/12)</f>
        <v>10960.314207084415</v>
      </c>
      <c r="V28" s="59">
        <f>U28*VLOOKUP(U$6,Data!$A$4:$G$8,3,FALSE)</f>
        <v>27400.78551771104</v>
      </c>
      <c r="W28" s="37">
        <f>VLOOKUP(U$6,Data!$A$3:$G$8,5,FALSE)+IF($B28=refund_inc_year,refund_inc,0)</f>
        <v>7.0000000000000007E-2</v>
      </c>
      <c r="X28" s="58">
        <f t="shared" si="9"/>
        <v>767.22199449590914</v>
      </c>
      <c r="Y28" s="75">
        <f>X28*VLOOKUP(U$6,Data!$A$4:$G$8,2,FALSE)</f>
        <v>6521.3869532152275</v>
      </c>
      <c r="Z28" s="75">
        <f t="shared" si="10"/>
        <v>20879.398564495812</v>
      </c>
      <c r="AA28" s="11">
        <f>AA27*(1+VLOOKUP(AA$6,Data!$A$3:$G$8,6,0))^(1/12)</f>
        <v>10448.16596430641</v>
      </c>
      <c r="AB28" s="59">
        <f>AA28*VLOOKUP(AA$6,Data!$A$4:$G$8,3,FALSE)</f>
        <v>28732.456401842628</v>
      </c>
      <c r="AC28" s="37">
        <f>VLOOKUP(AA$6,Data!$A$3:$G$8,5,FALSE)+IF($B28=refund_inc_year,refund_inc,0)</f>
        <v>0.08</v>
      </c>
      <c r="AD28" s="58">
        <f t="shared" si="11"/>
        <v>835.85327714451284</v>
      </c>
      <c r="AE28" s="75">
        <f>AD28*VLOOKUP(AA$6,Data!$A$4:$G$8,2,FALSE)</f>
        <v>8358.5327714451287</v>
      </c>
      <c r="AF28" s="75">
        <f t="shared" si="12"/>
        <v>20373.923630397498</v>
      </c>
      <c r="AG28" s="61">
        <f t="shared" si="13"/>
        <v>46616.309953898424</v>
      </c>
      <c r="AH28" s="60">
        <f>'Combined Admin'!D27</f>
        <v>17500</v>
      </c>
      <c r="AI28" s="60">
        <f t="shared" si="0"/>
        <v>0</v>
      </c>
      <c r="AJ28" s="60">
        <f t="shared" si="14"/>
        <v>17500</v>
      </c>
      <c r="AK28" s="60">
        <f t="shared" si="15"/>
        <v>29116.309953898424</v>
      </c>
      <c r="AL28" s="62">
        <f t="shared" si="1"/>
        <v>868321.00546728319</v>
      </c>
    </row>
    <row r="29" spans="1:38" x14ac:dyDescent="0.25">
      <c r="A29" s="2">
        <v>22</v>
      </c>
      <c r="B29" s="36">
        <f t="shared" si="2"/>
        <v>2</v>
      </c>
      <c r="C29" s="11">
        <f>C28*(1+VLOOKUP(C$6,Data!$A$3:$G$8,6,0))^(1/12)</f>
        <v>4705.0354530394316</v>
      </c>
      <c r="D29" s="59">
        <f>C29*VLOOKUP(C$6,Data!$A$4:$G$8,3,FALSE)</f>
        <v>2352.5177265197158</v>
      </c>
      <c r="E29" s="37">
        <f>VLOOKUP(C$6,Data!$A$3:$G$8,5,FALSE)+IF($B29=refund_inc_year,refund_inc,0)</f>
        <v>7.0000000000000007E-2</v>
      </c>
      <c r="F29" s="58">
        <f t="shared" si="3"/>
        <v>329.35248171276027</v>
      </c>
      <c r="G29" s="75">
        <f>F29*VLOOKUP(C$6,Data!$A$4:$G$8,2,FALSE)</f>
        <v>1646.7624085638013</v>
      </c>
      <c r="H29" s="75">
        <f t="shared" si="4"/>
        <v>705.75531795591451</v>
      </c>
      <c r="I29" s="11">
        <f>I28*(1+VLOOKUP(I$6,Data!$A$3:$G$8,6,0))^(1/12)</f>
        <v>9203.7666777168361</v>
      </c>
      <c r="J29" s="59">
        <f>I29*VLOOKUP(I$6,Data!$A$4:$G$8,3,FALSE)</f>
        <v>2761.1300033150505</v>
      </c>
      <c r="K29" s="37">
        <f>VLOOKUP(I$6,Data!$A$3:$G$8,5,FALSE)+IF($B29=refund_inc_year,refund_inc,0)</f>
        <v>0.06</v>
      </c>
      <c r="L29" s="58">
        <f t="shared" si="5"/>
        <v>552.22600066301015</v>
      </c>
      <c r="M29" s="75">
        <f>L29*VLOOKUP(I$6,Data!$A$4:$G$8,2,FALSE)</f>
        <v>3313.3560039780609</v>
      </c>
      <c r="N29" s="75">
        <f t="shared" si="6"/>
        <v>-552.22600066301038</v>
      </c>
      <c r="O29" s="11">
        <f>O28*(1+VLOOKUP(O$6,Data!$A$3:$G$8,6,0))^(1/12)</f>
        <v>8370.2260384351266</v>
      </c>
      <c r="P29" s="59">
        <f>O29*VLOOKUP(O$6,Data!$A$4:$G$8,3,FALSE)</f>
        <v>8370.2260384351266</v>
      </c>
      <c r="Q29" s="37">
        <f>VLOOKUP(O$6,Data!$A$3:$G$8,5,FALSE)+IF($B29=refund_inc_year,refund_inc,0)</f>
        <v>0.05</v>
      </c>
      <c r="R29" s="58">
        <f t="shared" si="7"/>
        <v>418.51130192175634</v>
      </c>
      <c r="S29" s="75">
        <f>R29*VLOOKUP(O$6,Data!$A$4:$G$8,2,FALSE)</f>
        <v>3138.8347644131727</v>
      </c>
      <c r="T29" s="75">
        <f t="shared" si="8"/>
        <v>5231.3912740219539</v>
      </c>
      <c r="U29" s="11">
        <f>U28*(1+VLOOKUP(U$6,Data!$A$3:$G$8,6,0))^(1/12)</f>
        <v>10978.416057092007</v>
      </c>
      <c r="V29" s="59">
        <f>U29*VLOOKUP(U$6,Data!$A$4:$G$8,3,FALSE)</f>
        <v>27446.040142730017</v>
      </c>
      <c r="W29" s="37">
        <f>VLOOKUP(U$6,Data!$A$3:$G$8,5,FALSE)+IF($B29=refund_inc_year,refund_inc,0)</f>
        <v>7.0000000000000007E-2</v>
      </c>
      <c r="X29" s="58">
        <f t="shared" si="9"/>
        <v>768.48912399644053</v>
      </c>
      <c r="Y29" s="75">
        <f>X29*VLOOKUP(U$6,Data!$A$4:$G$8,2,FALSE)</f>
        <v>6532.1575539697442</v>
      </c>
      <c r="Z29" s="75">
        <f t="shared" si="10"/>
        <v>20913.882588760272</v>
      </c>
      <c r="AA29" s="11">
        <f>AA28*(1+VLOOKUP(AA$6,Data!$A$3:$G$8,6,0))^(1/12)</f>
        <v>10473.933960200191</v>
      </c>
      <c r="AB29" s="59">
        <f>AA29*VLOOKUP(AA$6,Data!$A$4:$G$8,3,FALSE)</f>
        <v>28803.318390550525</v>
      </c>
      <c r="AC29" s="37">
        <f>VLOOKUP(AA$6,Data!$A$3:$G$8,5,FALSE)+IF($B29=refund_inc_year,refund_inc,0)</f>
        <v>0.08</v>
      </c>
      <c r="AD29" s="58">
        <f t="shared" si="11"/>
        <v>837.91471681601524</v>
      </c>
      <c r="AE29" s="75">
        <f>AD29*VLOOKUP(AA$6,Data!$A$4:$G$8,2,FALSE)</f>
        <v>8379.1471681601524</v>
      </c>
      <c r="AF29" s="75">
        <f t="shared" si="12"/>
        <v>20424.171222390374</v>
      </c>
      <c r="AG29" s="61">
        <f t="shared" si="13"/>
        <v>46722.974402465508</v>
      </c>
      <c r="AH29" s="60">
        <f>'Combined Admin'!D28</f>
        <v>17500</v>
      </c>
      <c r="AI29" s="60">
        <f t="shared" si="0"/>
        <v>0</v>
      </c>
      <c r="AJ29" s="60">
        <f t="shared" si="14"/>
        <v>17500</v>
      </c>
      <c r="AK29" s="60">
        <f t="shared" si="15"/>
        <v>29222.974402465508</v>
      </c>
      <c r="AL29" s="62">
        <f t="shared" si="1"/>
        <v>844453.625678526</v>
      </c>
    </row>
    <row r="30" spans="1:38" x14ac:dyDescent="0.25">
      <c r="A30" s="2">
        <v>23</v>
      </c>
      <c r="B30" s="36">
        <f t="shared" si="2"/>
        <v>2</v>
      </c>
      <c r="C30" s="11">
        <f>C29*(1+VLOOKUP(C$6,Data!$A$3:$G$8,6,0))^(1/12)</f>
        <v>4712.8062016185431</v>
      </c>
      <c r="D30" s="59">
        <f>C30*VLOOKUP(C$6,Data!$A$4:$G$8,3,FALSE)</f>
        <v>2356.4031008092716</v>
      </c>
      <c r="E30" s="37">
        <f>VLOOKUP(C$6,Data!$A$3:$G$8,5,FALSE)+IF($B30=refund_inc_year,refund_inc,0)</f>
        <v>7.0000000000000007E-2</v>
      </c>
      <c r="F30" s="58">
        <f t="shared" si="3"/>
        <v>329.89643411329803</v>
      </c>
      <c r="G30" s="75">
        <f>F30*VLOOKUP(C$6,Data!$A$4:$G$8,2,FALSE)</f>
        <v>1649.4821705664901</v>
      </c>
      <c r="H30" s="75">
        <f t="shared" si="4"/>
        <v>706.92093024278142</v>
      </c>
      <c r="I30" s="11">
        <f>I29*(1+VLOOKUP(I$6,Data!$A$3:$G$8,6,0))^(1/12)</f>
        <v>9211.4015529715507</v>
      </c>
      <c r="J30" s="59">
        <f>I30*VLOOKUP(I$6,Data!$A$4:$G$8,3,FALSE)</f>
        <v>2763.420465891465</v>
      </c>
      <c r="K30" s="37">
        <f>VLOOKUP(I$6,Data!$A$3:$G$8,5,FALSE)+IF($B30=refund_inc_year,refund_inc,0)</f>
        <v>0.06</v>
      </c>
      <c r="L30" s="58">
        <f t="shared" si="5"/>
        <v>552.68409317829298</v>
      </c>
      <c r="M30" s="75">
        <f>L30*VLOOKUP(I$6,Data!$A$4:$G$8,2,FALSE)</f>
        <v>3316.1045590697577</v>
      </c>
      <c r="N30" s="75">
        <f t="shared" si="6"/>
        <v>-552.68409317829264</v>
      </c>
      <c r="O30" s="11">
        <f>O29*(1+VLOOKUP(O$6,Data!$A$3:$G$8,6,0))^(1/12)</f>
        <v>8404.3273754128277</v>
      </c>
      <c r="P30" s="59">
        <f>O30*VLOOKUP(O$6,Data!$A$4:$G$8,3,FALSE)</f>
        <v>8404.3273754128277</v>
      </c>
      <c r="Q30" s="37">
        <f>VLOOKUP(O$6,Data!$A$3:$G$8,5,FALSE)+IF($B30=refund_inc_year,refund_inc,0)</f>
        <v>0.05</v>
      </c>
      <c r="R30" s="58">
        <f t="shared" si="7"/>
        <v>420.2163687706414</v>
      </c>
      <c r="S30" s="75">
        <f>R30*VLOOKUP(O$6,Data!$A$4:$G$8,2,FALSE)</f>
        <v>3151.6227657798104</v>
      </c>
      <c r="T30" s="75">
        <f t="shared" si="8"/>
        <v>5252.7046096330178</v>
      </c>
      <c r="U30" s="11">
        <f>U29*(1+VLOOKUP(U$6,Data!$A$3:$G$8,6,0))^(1/12)</f>
        <v>10996.547803776601</v>
      </c>
      <c r="V30" s="59">
        <f>U30*VLOOKUP(U$6,Data!$A$4:$G$8,3,FALSE)</f>
        <v>27491.369509441502</v>
      </c>
      <c r="W30" s="37">
        <f>VLOOKUP(U$6,Data!$A$3:$G$8,5,FALSE)+IF($B30=refund_inc_year,refund_inc,0)</f>
        <v>7.0000000000000007E-2</v>
      </c>
      <c r="X30" s="58">
        <f t="shared" si="9"/>
        <v>769.7583462643621</v>
      </c>
      <c r="Y30" s="75">
        <f>X30*VLOOKUP(U$6,Data!$A$4:$G$8,2,FALSE)</f>
        <v>6542.9459432470776</v>
      </c>
      <c r="Z30" s="75">
        <f t="shared" si="10"/>
        <v>20948.423566194426</v>
      </c>
      <c r="AA30" s="11">
        <f>AA29*(1+VLOOKUP(AA$6,Data!$A$3:$G$8,6,0))^(1/12)</f>
        <v>10499.765506923337</v>
      </c>
      <c r="AB30" s="59">
        <f>AA30*VLOOKUP(AA$6,Data!$A$4:$G$8,3,FALSE)</f>
        <v>28874.355144039175</v>
      </c>
      <c r="AC30" s="37">
        <f>VLOOKUP(AA$6,Data!$A$3:$G$8,5,FALSE)+IF($B30=refund_inc_year,refund_inc,0)</f>
        <v>0.08</v>
      </c>
      <c r="AD30" s="58">
        <f t="shared" si="11"/>
        <v>839.981240553867</v>
      </c>
      <c r="AE30" s="75">
        <f>AD30*VLOOKUP(AA$6,Data!$A$4:$G$8,2,FALSE)</f>
        <v>8399.8124055386706</v>
      </c>
      <c r="AF30" s="75">
        <f t="shared" si="12"/>
        <v>20474.542738500502</v>
      </c>
      <c r="AG30" s="61">
        <f t="shared" si="13"/>
        <v>46829.907751392435</v>
      </c>
      <c r="AH30" s="60">
        <f>'Combined Admin'!D29</f>
        <v>17500</v>
      </c>
      <c r="AI30" s="60">
        <f t="shared" si="0"/>
        <v>0</v>
      </c>
      <c r="AJ30" s="60">
        <f t="shared" si="14"/>
        <v>17500</v>
      </c>
      <c r="AK30" s="60">
        <f t="shared" si="15"/>
        <v>29329.907751392435</v>
      </c>
      <c r="AL30" s="62">
        <f t="shared" si="1"/>
        <v>820335.30506305676</v>
      </c>
    </row>
    <row r="31" spans="1:38" x14ac:dyDescent="0.25">
      <c r="A31" s="2">
        <v>24</v>
      </c>
      <c r="B31" s="36">
        <f t="shared" si="2"/>
        <v>2</v>
      </c>
      <c r="C31" s="11">
        <f>C30*(1+VLOOKUP(C$6,Data!$A$3:$G$8,6,0))^(1/12)</f>
        <v>4720.5897842207096</v>
      </c>
      <c r="D31" s="59">
        <f>C31*VLOOKUP(C$6,Data!$A$4:$G$8,3,FALSE)</f>
        <v>2360.2948921103548</v>
      </c>
      <c r="E31" s="37">
        <f>VLOOKUP(C$6,Data!$A$3:$G$8,5,FALSE)+IF($B31=refund_inc_year,refund_inc,0)</f>
        <v>7.0000000000000007E-2</v>
      </c>
      <c r="F31" s="58">
        <f t="shared" si="3"/>
        <v>330.44128489544971</v>
      </c>
      <c r="G31" s="75">
        <f>F31*VLOOKUP(C$6,Data!$A$4:$G$8,2,FALSE)</f>
        <v>1652.2064244772487</v>
      </c>
      <c r="H31" s="75">
        <f t="shared" si="4"/>
        <v>708.08846763310612</v>
      </c>
      <c r="I31" s="11">
        <f>I30*(1+VLOOKUP(I$6,Data!$A$3:$G$8,6,0))^(1/12)</f>
        <v>9219.0427616462875</v>
      </c>
      <c r="J31" s="59">
        <f>I31*VLOOKUP(I$6,Data!$A$4:$G$8,3,FALSE)</f>
        <v>2765.7128284938863</v>
      </c>
      <c r="K31" s="37">
        <f>VLOOKUP(I$6,Data!$A$3:$G$8,5,FALSE)+IF($B31=refund_inc_year,refund_inc,0)</f>
        <v>0.06</v>
      </c>
      <c r="L31" s="58">
        <f t="shared" si="5"/>
        <v>553.14256569877728</v>
      </c>
      <c r="M31" s="75">
        <f>L31*VLOOKUP(I$6,Data!$A$4:$G$8,2,FALSE)</f>
        <v>3318.8553941926639</v>
      </c>
      <c r="N31" s="75">
        <f t="shared" si="6"/>
        <v>-553.14256569877762</v>
      </c>
      <c r="O31" s="11">
        <f>O30*(1+VLOOKUP(O$6,Data!$A$3:$G$8,6,0))^(1/12)</f>
        <v>8438.5676454585646</v>
      </c>
      <c r="P31" s="59">
        <f>O31*VLOOKUP(O$6,Data!$A$4:$G$8,3,FALSE)</f>
        <v>8438.5676454585646</v>
      </c>
      <c r="Q31" s="37">
        <f>VLOOKUP(O$6,Data!$A$3:$G$8,5,FALSE)+IF($B31=refund_inc_year,refund_inc,0)</f>
        <v>0.05</v>
      </c>
      <c r="R31" s="58">
        <f t="shared" si="7"/>
        <v>421.92838227292827</v>
      </c>
      <c r="S31" s="75">
        <f>R31*VLOOKUP(O$6,Data!$A$4:$G$8,2,FALSE)</f>
        <v>3164.4628670469619</v>
      </c>
      <c r="T31" s="75">
        <f t="shared" si="8"/>
        <v>5274.1047784116026</v>
      </c>
      <c r="U31" s="11">
        <f>U30*(1+VLOOKUP(U$6,Data!$A$3:$G$8,6,0))^(1/12)</f>
        <v>11014.70949651499</v>
      </c>
      <c r="V31" s="59">
        <f>U31*VLOOKUP(U$6,Data!$A$4:$G$8,3,FALSE)</f>
        <v>27536.773741287474</v>
      </c>
      <c r="W31" s="37">
        <f>VLOOKUP(U$6,Data!$A$3:$G$8,5,FALSE)+IF($B31=refund_inc_year,refund_inc,0)</f>
        <v>7.0000000000000007E-2</v>
      </c>
      <c r="X31" s="58">
        <f t="shared" si="9"/>
        <v>771.02966475604933</v>
      </c>
      <c r="Y31" s="75">
        <f>X31*VLOOKUP(U$6,Data!$A$4:$G$8,2,FALSE)</f>
        <v>6553.7521504264196</v>
      </c>
      <c r="Z31" s="75">
        <f t="shared" si="10"/>
        <v>20983.021590861055</v>
      </c>
      <c r="AA31" s="11">
        <f>AA30*(1+VLOOKUP(AA$6,Data!$A$3:$G$8,6,0))^(1/12)</f>
        <v>10525.660761209339</v>
      </c>
      <c r="AB31" s="59">
        <f>AA31*VLOOKUP(AA$6,Data!$A$4:$G$8,3,FALSE)</f>
        <v>28945.567093325684</v>
      </c>
      <c r="AC31" s="37">
        <f>VLOOKUP(AA$6,Data!$A$3:$G$8,5,FALSE)+IF($B31=refund_inc_year,refund_inc,0)</f>
        <v>0.08</v>
      </c>
      <c r="AD31" s="58">
        <f t="shared" si="11"/>
        <v>842.05286089674712</v>
      </c>
      <c r="AE31" s="75">
        <f>AD31*VLOOKUP(AA$6,Data!$A$4:$G$8,2,FALSE)</f>
        <v>8420.5286089674719</v>
      </c>
      <c r="AF31" s="75">
        <f t="shared" si="12"/>
        <v>20525.038484358214</v>
      </c>
      <c r="AG31" s="61">
        <f t="shared" si="13"/>
        <v>46937.110755565198</v>
      </c>
      <c r="AH31" s="60">
        <f>'Combined Admin'!D30</f>
        <v>17500</v>
      </c>
      <c r="AI31" s="60">
        <f t="shared" si="0"/>
        <v>0</v>
      </c>
      <c r="AJ31" s="60">
        <f t="shared" si="14"/>
        <v>17500</v>
      </c>
      <c r="AK31" s="60">
        <f t="shared" si="15"/>
        <v>29437.110755565198</v>
      </c>
      <c r="AL31" s="62">
        <f t="shared" si="1"/>
        <v>795964.25780353812</v>
      </c>
    </row>
    <row r="32" spans="1:38" x14ac:dyDescent="0.25">
      <c r="A32" s="2">
        <v>25</v>
      </c>
      <c r="B32" s="36">
        <f t="shared" si="2"/>
        <v>3</v>
      </c>
      <c r="C32" s="11">
        <f>C31*(1+VLOOKUP(C$6,Data!$A$3:$G$8,6,0))^(1/12)</f>
        <v>4728.3862220423644</v>
      </c>
      <c r="D32" s="59">
        <f>C32*VLOOKUP(C$6,Data!$A$4:$G$8,3,FALSE)</f>
        <v>2364.1931110211822</v>
      </c>
      <c r="E32" s="37">
        <f>VLOOKUP(C$6,Data!$A$3:$G$8,5,FALSE)+IF($B32=refund_inc_year,refund_inc,0)</f>
        <v>0.12000000000000001</v>
      </c>
      <c r="F32" s="58">
        <f t="shared" si="3"/>
        <v>567.40634664508377</v>
      </c>
      <c r="G32" s="75">
        <f>F32*VLOOKUP(C$6,Data!$A$4:$G$8,2,FALSE)</f>
        <v>2837.031733225419</v>
      </c>
      <c r="H32" s="75">
        <f t="shared" si="4"/>
        <v>-472.8386222042368</v>
      </c>
      <c r="I32" s="11">
        <f>I31*(1+VLOOKUP(I$6,Data!$A$3:$G$8,6,0))^(1/12)</f>
        <v>9226.690308994861</v>
      </c>
      <c r="J32" s="59">
        <f>I32*VLOOKUP(I$6,Data!$A$4:$G$8,3,FALSE)</f>
        <v>2768.0070926984581</v>
      </c>
      <c r="K32" s="37">
        <f>VLOOKUP(I$6,Data!$A$3:$G$8,5,FALSE)+IF($B32=refund_inc_year,refund_inc,0)</f>
        <v>0.11</v>
      </c>
      <c r="L32" s="58">
        <f t="shared" si="5"/>
        <v>1014.9359339894347</v>
      </c>
      <c r="M32" s="75">
        <f>L32*VLOOKUP(I$6,Data!$A$4:$G$8,2,FALSE)</f>
        <v>6089.6156039366087</v>
      </c>
      <c r="N32" s="75">
        <f t="shared" si="6"/>
        <v>-3321.6085112381506</v>
      </c>
      <c r="O32" s="11">
        <f>O31*(1+VLOOKUP(O$6,Data!$A$3:$G$8,6,0))^(1/12)</f>
        <v>8472.9474146028533</v>
      </c>
      <c r="P32" s="59">
        <f>O32*VLOOKUP(O$6,Data!$A$4:$G$8,3,FALSE)</f>
        <v>8472.9474146028533</v>
      </c>
      <c r="Q32" s="37">
        <f>VLOOKUP(O$6,Data!$A$3:$G$8,5,FALSE)+IF($B32=refund_inc_year,refund_inc,0)</f>
        <v>0.1</v>
      </c>
      <c r="R32" s="58">
        <f t="shared" si="7"/>
        <v>847.29474146028542</v>
      </c>
      <c r="S32" s="75">
        <f>R32*VLOOKUP(O$6,Data!$A$4:$G$8,2,FALSE)</f>
        <v>6354.7105609521404</v>
      </c>
      <c r="T32" s="75">
        <f t="shared" si="8"/>
        <v>2118.2368536507129</v>
      </c>
      <c r="U32" s="11">
        <f>U31*(1+VLOOKUP(U$6,Data!$A$3:$G$8,6,0))^(1/12)</f>
        <v>11032.901184765517</v>
      </c>
      <c r="V32" s="59">
        <f>U32*VLOOKUP(U$6,Data!$A$4:$G$8,3,FALSE)</f>
        <v>27582.252961913793</v>
      </c>
      <c r="W32" s="37">
        <f>VLOOKUP(U$6,Data!$A$3:$G$8,5,FALSE)+IF($B32=refund_inc_year,refund_inc,0)</f>
        <v>0.12000000000000001</v>
      </c>
      <c r="X32" s="58">
        <f t="shared" si="9"/>
        <v>1323.9481421718622</v>
      </c>
      <c r="Y32" s="75">
        <f>X32*VLOOKUP(U$6,Data!$A$4:$G$8,2,FALSE)</f>
        <v>11253.559208460829</v>
      </c>
      <c r="Z32" s="75">
        <f t="shared" si="10"/>
        <v>16328.693753452964</v>
      </c>
      <c r="AA32" s="11">
        <f>AA31*(1+VLOOKUP(AA$6,Data!$A$3:$G$8,6,0))^(1/12)</f>
        <v>10551.619880178234</v>
      </c>
      <c r="AB32" s="59">
        <f>AA32*VLOOKUP(AA$6,Data!$A$4:$G$8,3,FALSE)</f>
        <v>29016.954670490144</v>
      </c>
      <c r="AC32" s="37">
        <f>VLOOKUP(AA$6,Data!$A$3:$G$8,5,FALSE)+IF($B32=refund_inc_year,refund_inc,0)</f>
        <v>0.13</v>
      </c>
      <c r="AD32" s="58">
        <f t="shared" si="11"/>
        <v>1371.7105844231705</v>
      </c>
      <c r="AE32" s="75">
        <f>AD32*VLOOKUP(AA$6,Data!$A$4:$G$8,2,FALSE)</f>
        <v>13717.105844231704</v>
      </c>
      <c r="AF32" s="75">
        <f t="shared" si="12"/>
        <v>15299.84882625844</v>
      </c>
      <c r="AG32" s="61">
        <f t="shared" si="13"/>
        <v>29952.33229991973</v>
      </c>
      <c r="AH32" s="60">
        <f>'Combined Admin'!D31</f>
        <v>17500</v>
      </c>
      <c r="AI32" s="60">
        <f t="shared" si="0"/>
        <v>133333.33333333334</v>
      </c>
      <c r="AJ32" s="60">
        <f t="shared" si="14"/>
        <v>150833.33333333334</v>
      </c>
      <c r="AK32" s="60">
        <f t="shared" si="15"/>
        <v>-120881.00103341362</v>
      </c>
      <c r="AL32" s="62">
        <f t="shared" si="1"/>
        <v>771338.6865326257</v>
      </c>
    </row>
    <row r="33" spans="1:38" x14ac:dyDescent="0.25">
      <c r="A33" s="2">
        <v>26</v>
      </c>
      <c r="B33" s="36">
        <f t="shared" si="2"/>
        <v>3</v>
      </c>
      <c r="C33" s="11">
        <f>C32*(1+VLOOKUP(C$6,Data!$A$3:$G$8,6,0))^(1/12)</f>
        <v>4736.1955363149464</v>
      </c>
      <c r="D33" s="59">
        <f>C33*VLOOKUP(C$6,Data!$A$4:$G$8,3,FALSE)</f>
        <v>2368.0977681574732</v>
      </c>
      <c r="E33" s="37">
        <f>VLOOKUP(C$6,Data!$A$3:$G$8,5,FALSE)+IF($B33=refund_inc_year,refund_inc,0)</f>
        <v>0.12000000000000001</v>
      </c>
      <c r="F33" s="58">
        <f t="shared" si="3"/>
        <v>568.34346435779366</v>
      </c>
      <c r="G33" s="75">
        <f>F33*VLOOKUP(C$6,Data!$A$4:$G$8,2,FALSE)</f>
        <v>2841.7173217889685</v>
      </c>
      <c r="H33" s="75">
        <f t="shared" si="4"/>
        <v>-473.61955363149536</v>
      </c>
      <c r="I33" s="11">
        <f>I32*(1+VLOOKUP(I$6,Data!$A$3:$G$8,6,0))^(1/12)</f>
        <v>9234.34420027544</v>
      </c>
      <c r="J33" s="59">
        <f>I33*VLOOKUP(I$6,Data!$A$4:$G$8,3,FALSE)</f>
        <v>2770.3032600826318</v>
      </c>
      <c r="K33" s="37">
        <f>VLOOKUP(I$6,Data!$A$3:$G$8,5,FALSE)+IF($B33=refund_inc_year,refund_inc,0)</f>
        <v>0.11</v>
      </c>
      <c r="L33" s="58">
        <f t="shared" si="5"/>
        <v>1015.7778620302984</v>
      </c>
      <c r="M33" s="75">
        <f>L33*VLOOKUP(I$6,Data!$A$4:$G$8,2,FALSE)</f>
        <v>6094.6671721817902</v>
      </c>
      <c r="N33" s="75">
        <f t="shared" si="6"/>
        <v>-3324.3639120991584</v>
      </c>
      <c r="O33" s="11">
        <f>O32*(1+VLOOKUP(O$6,Data!$A$3:$G$8,6,0))^(1/12)</f>
        <v>8507.4672511822882</v>
      </c>
      <c r="P33" s="59">
        <f>O33*VLOOKUP(O$6,Data!$A$4:$G$8,3,FALSE)</f>
        <v>8507.4672511822882</v>
      </c>
      <c r="Q33" s="37">
        <f>VLOOKUP(O$6,Data!$A$3:$G$8,5,FALSE)+IF($B33=refund_inc_year,refund_inc,0)</f>
        <v>0.1</v>
      </c>
      <c r="R33" s="58">
        <f t="shared" si="7"/>
        <v>850.74672511822882</v>
      </c>
      <c r="S33" s="75">
        <f>R33*VLOOKUP(O$6,Data!$A$4:$G$8,2,FALSE)</f>
        <v>6380.6004383867166</v>
      </c>
      <c r="T33" s="75">
        <f t="shared" si="8"/>
        <v>2126.8668127955716</v>
      </c>
      <c r="U33" s="11">
        <f>U32*(1+VLOOKUP(U$6,Data!$A$3:$G$8,6,0))^(1/12)</f>
        <v>11051.122918068209</v>
      </c>
      <c r="V33" s="59">
        <f>U33*VLOOKUP(U$6,Data!$A$4:$G$8,3,FALSE)</f>
        <v>27627.807295170525</v>
      </c>
      <c r="W33" s="37">
        <f>VLOOKUP(U$6,Data!$A$3:$G$8,5,FALSE)+IF($B33=refund_inc_year,refund_inc,0)</f>
        <v>0.12000000000000001</v>
      </c>
      <c r="X33" s="58">
        <f t="shared" si="9"/>
        <v>1326.1347501681853</v>
      </c>
      <c r="Y33" s="75">
        <f>X33*VLOOKUP(U$6,Data!$A$4:$G$8,2,FALSE)</f>
        <v>11272.145376429575</v>
      </c>
      <c r="Z33" s="75">
        <f t="shared" si="10"/>
        <v>16355.661918740951</v>
      </c>
      <c r="AA33" s="11">
        <f>AA32*(1+VLOOKUP(AA$6,Data!$A$3:$G$8,6,0))^(1/12)</f>
        <v>10577.643021337557</v>
      </c>
      <c r="AB33" s="59">
        <f>AA33*VLOOKUP(AA$6,Data!$A$4:$G$8,3,FALSE)</f>
        <v>29088.518308678282</v>
      </c>
      <c r="AC33" s="37">
        <f>VLOOKUP(AA$6,Data!$A$3:$G$8,5,FALSE)+IF($B33=refund_inc_year,refund_inc,0)</f>
        <v>0.13</v>
      </c>
      <c r="AD33" s="58">
        <f t="shared" si="11"/>
        <v>1375.0935927738824</v>
      </c>
      <c r="AE33" s="75">
        <f>AD33*VLOOKUP(AA$6,Data!$A$4:$G$8,2,FALSE)</f>
        <v>13750.935927738825</v>
      </c>
      <c r="AF33" s="75">
        <f t="shared" si="12"/>
        <v>15337.582380939457</v>
      </c>
      <c r="AG33" s="61">
        <f t="shared" si="13"/>
        <v>30022.127646745324</v>
      </c>
      <c r="AH33" s="60">
        <f>'Combined Admin'!D32</f>
        <v>17500</v>
      </c>
      <c r="AI33" s="60">
        <f t="shared" si="0"/>
        <v>133333.33333333334</v>
      </c>
      <c r="AJ33" s="60">
        <f t="shared" si="14"/>
        <v>150833.33333333334</v>
      </c>
      <c r="AK33" s="60">
        <f t="shared" si="15"/>
        <v>-120811.20568658801</v>
      </c>
      <c r="AL33" s="62">
        <f t="shared" si="1"/>
        <v>896882.36746643251</v>
      </c>
    </row>
    <row r="34" spans="1:38" x14ac:dyDescent="0.25">
      <c r="A34" s="2">
        <v>27</v>
      </c>
      <c r="B34" s="36">
        <f t="shared" si="2"/>
        <v>3</v>
      </c>
      <c r="C34" s="11">
        <f>C33*(1+VLOOKUP(C$6,Data!$A$3:$G$8,6,0))^(1/12)</f>
        <v>4744.017748304962</v>
      </c>
      <c r="D34" s="59">
        <f>C34*VLOOKUP(C$6,Data!$A$4:$G$8,3,FALSE)</f>
        <v>2372.008874152481</v>
      </c>
      <c r="E34" s="37">
        <f>VLOOKUP(C$6,Data!$A$3:$G$8,5,FALSE)+IF($B34=refund_inc_year,refund_inc,0)</f>
        <v>0.12000000000000001</v>
      </c>
      <c r="F34" s="58">
        <f t="shared" si="3"/>
        <v>569.28212979659543</v>
      </c>
      <c r="G34" s="75">
        <f>F34*VLOOKUP(C$6,Data!$A$4:$G$8,2,FALSE)</f>
        <v>2846.4106489829774</v>
      </c>
      <c r="H34" s="75">
        <f t="shared" si="4"/>
        <v>-474.40177483049638</v>
      </c>
      <c r="I34" s="11">
        <f>I33*(1+VLOOKUP(I$6,Data!$A$3:$G$8,6,0))^(1/12)</f>
        <v>9242.0044407505593</v>
      </c>
      <c r="J34" s="59">
        <f>I34*VLOOKUP(I$6,Data!$A$4:$G$8,3,FALSE)</f>
        <v>2772.6013322251679</v>
      </c>
      <c r="K34" s="37">
        <f>VLOOKUP(I$6,Data!$A$3:$G$8,5,FALSE)+IF($B34=refund_inc_year,refund_inc,0)</f>
        <v>0.11</v>
      </c>
      <c r="L34" s="58">
        <f t="shared" si="5"/>
        <v>1016.6204884825615</v>
      </c>
      <c r="M34" s="75">
        <f>L34*VLOOKUP(I$6,Data!$A$4:$G$8,2,FALSE)</f>
        <v>6099.7229308953692</v>
      </c>
      <c r="N34" s="75">
        <f t="shared" si="6"/>
        <v>-3327.1215986702014</v>
      </c>
      <c r="O34" s="11">
        <f>O33*(1+VLOOKUP(O$6,Data!$A$3:$G$8,6,0))^(1/12)</f>
        <v>8542.127725848939</v>
      </c>
      <c r="P34" s="59">
        <f>O34*VLOOKUP(O$6,Data!$A$4:$G$8,3,FALSE)</f>
        <v>8542.127725848939</v>
      </c>
      <c r="Q34" s="37">
        <f>VLOOKUP(O$6,Data!$A$3:$G$8,5,FALSE)+IF($B34=refund_inc_year,refund_inc,0)</f>
        <v>0.1</v>
      </c>
      <c r="R34" s="58">
        <f t="shared" si="7"/>
        <v>854.21277258489397</v>
      </c>
      <c r="S34" s="75">
        <f>R34*VLOOKUP(O$6,Data!$A$4:$G$8,2,FALSE)</f>
        <v>6406.5957943867052</v>
      </c>
      <c r="T34" s="75">
        <f t="shared" si="8"/>
        <v>2135.5319314622338</v>
      </c>
      <c r="U34" s="11">
        <f>U33*(1+VLOOKUP(U$6,Data!$A$3:$G$8,6,0))^(1/12)</f>
        <v>11069.374746044912</v>
      </c>
      <c r="V34" s="59">
        <f>U34*VLOOKUP(U$6,Data!$A$4:$G$8,3,FALSE)</f>
        <v>27673.436865112279</v>
      </c>
      <c r="W34" s="37">
        <f>VLOOKUP(U$6,Data!$A$3:$G$8,5,FALSE)+IF($B34=refund_inc_year,refund_inc,0)</f>
        <v>0.12000000000000001</v>
      </c>
      <c r="X34" s="58">
        <f t="shared" si="9"/>
        <v>1328.3249695253896</v>
      </c>
      <c r="Y34" s="75">
        <f>X34*VLOOKUP(U$6,Data!$A$4:$G$8,2,FALSE)</f>
        <v>11290.762240965812</v>
      </c>
      <c r="Z34" s="75">
        <f t="shared" si="10"/>
        <v>16382.674624146466</v>
      </c>
      <c r="AA34" s="11">
        <f>AA33*(1+VLOOKUP(AA$6,Data!$A$3:$G$8,6,0))^(1/12)</f>
        <v>10603.730342583302</v>
      </c>
      <c r="AB34" s="59">
        <f>AA34*VLOOKUP(AA$6,Data!$A$4:$G$8,3,FALSE)</f>
        <v>29160.258442104081</v>
      </c>
      <c r="AC34" s="37">
        <f>VLOOKUP(AA$6,Data!$A$3:$G$8,5,FALSE)+IF($B34=refund_inc_year,refund_inc,0)</f>
        <v>0.13</v>
      </c>
      <c r="AD34" s="58">
        <f t="shared" si="11"/>
        <v>1378.4849445358293</v>
      </c>
      <c r="AE34" s="75">
        <f>AD34*VLOOKUP(AA$6,Data!$A$4:$G$8,2,FALSE)</f>
        <v>13784.849445358293</v>
      </c>
      <c r="AF34" s="75">
        <f t="shared" si="12"/>
        <v>15375.408996745788</v>
      </c>
      <c r="AG34" s="61">
        <f t="shared" si="13"/>
        <v>30092.092178853789</v>
      </c>
      <c r="AH34" s="60">
        <f>'Combined Admin'!D33</f>
        <v>17500</v>
      </c>
      <c r="AI34" s="60">
        <f t="shared" si="0"/>
        <v>133333.33333333334</v>
      </c>
      <c r="AJ34" s="60">
        <f t="shared" si="14"/>
        <v>150833.33333333334</v>
      </c>
      <c r="AK34" s="60">
        <f t="shared" si="15"/>
        <v>-120741.24115447956</v>
      </c>
      <c r="AL34" s="62">
        <f t="shared" si="1"/>
        <v>1023115.1544386703</v>
      </c>
    </row>
    <row r="35" spans="1:38" x14ac:dyDescent="0.25">
      <c r="A35" s="2">
        <v>28</v>
      </c>
      <c r="B35" s="36">
        <f t="shared" si="2"/>
        <v>3</v>
      </c>
      <c r="C35" s="11">
        <f>C34*(1+VLOOKUP(C$6,Data!$A$3:$G$8,6,0))^(1/12)</f>
        <v>4751.8528793140404</v>
      </c>
      <c r="D35" s="59">
        <f>C35*VLOOKUP(C$6,Data!$A$4:$G$8,3,FALSE)</f>
        <v>2375.9264396570202</v>
      </c>
      <c r="E35" s="37">
        <f>VLOOKUP(C$6,Data!$A$3:$G$8,5,FALSE)+IF($B35=refund_inc_year,refund_inc,0)</f>
        <v>0.12000000000000001</v>
      </c>
      <c r="F35" s="58">
        <f t="shared" si="3"/>
        <v>570.22234551768486</v>
      </c>
      <c r="G35" s="75">
        <f>F35*VLOOKUP(C$6,Data!$A$4:$G$8,2,FALSE)</f>
        <v>2851.1117275884244</v>
      </c>
      <c r="H35" s="75">
        <f t="shared" si="4"/>
        <v>-475.18528793140422</v>
      </c>
      <c r="I35" s="11">
        <f>I34*(1+VLOOKUP(I$6,Data!$A$3:$G$8,6,0))^(1/12)</f>
        <v>9249.671035687119</v>
      </c>
      <c r="J35" s="59">
        <f>I35*VLOOKUP(I$6,Data!$A$4:$G$8,3,FALSE)</f>
        <v>2774.9013107061355</v>
      </c>
      <c r="K35" s="37">
        <f>VLOOKUP(I$6,Data!$A$3:$G$8,5,FALSE)+IF($B35=refund_inc_year,refund_inc,0)</f>
        <v>0.11</v>
      </c>
      <c r="L35" s="58">
        <f t="shared" si="5"/>
        <v>1017.4638139255831</v>
      </c>
      <c r="M35" s="75">
        <f>L35*VLOOKUP(I$6,Data!$A$4:$G$8,2,FALSE)</f>
        <v>6104.7828835534983</v>
      </c>
      <c r="N35" s="75">
        <f t="shared" si="6"/>
        <v>-3329.8815728473628</v>
      </c>
      <c r="O35" s="11">
        <f>O34*(1+VLOOKUP(O$6,Data!$A$3:$G$8,6,0))^(1/12)</f>
        <v>8576.929411579782</v>
      </c>
      <c r="P35" s="59">
        <f>O35*VLOOKUP(O$6,Data!$A$4:$G$8,3,FALSE)</f>
        <v>8576.929411579782</v>
      </c>
      <c r="Q35" s="37">
        <f>VLOOKUP(O$6,Data!$A$3:$G$8,5,FALSE)+IF($B35=refund_inc_year,refund_inc,0)</f>
        <v>0.1</v>
      </c>
      <c r="R35" s="58">
        <f t="shared" si="7"/>
        <v>857.69294115797823</v>
      </c>
      <c r="S35" s="75">
        <f>R35*VLOOKUP(O$6,Data!$A$4:$G$8,2,FALSE)</f>
        <v>6432.6970586848365</v>
      </c>
      <c r="T35" s="75">
        <f t="shared" si="8"/>
        <v>2144.2323528949455</v>
      </c>
      <c r="U35" s="11">
        <f>U34*(1+VLOOKUP(U$6,Data!$A$3:$G$8,6,0))^(1/12)</f>
        <v>11087.656718399428</v>
      </c>
      <c r="V35" s="59">
        <f>U35*VLOOKUP(U$6,Data!$A$4:$G$8,3,FALSE)</f>
        <v>27719.14179599857</v>
      </c>
      <c r="W35" s="37">
        <f>VLOOKUP(U$6,Data!$A$3:$G$8,5,FALSE)+IF($B35=refund_inc_year,refund_inc,0)</f>
        <v>0.12000000000000001</v>
      </c>
      <c r="X35" s="58">
        <f t="shared" si="9"/>
        <v>1330.5188062079314</v>
      </c>
      <c r="Y35" s="75">
        <f>X35*VLOOKUP(U$6,Data!$A$4:$G$8,2,FALSE)</f>
        <v>11309.409852767418</v>
      </c>
      <c r="Z35" s="75">
        <f t="shared" si="10"/>
        <v>16409.731943231152</v>
      </c>
      <c r="AA35" s="11">
        <f>AA34*(1+VLOOKUP(AA$6,Data!$A$3:$G$8,6,0))^(1/12)</f>
        <v>10629.882002200875</v>
      </c>
      <c r="AB35" s="59">
        <f>AA35*VLOOKUP(AA$6,Data!$A$4:$G$8,3,FALSE)</f>
        <v>29232.175506052405</v>
      </c>
      <c r="AC35" s="37">
        <f>VLOOKUP(AA$6,Data!$A$3:$G$8,5,FALSE)+IF($B35=refund_inc_year,refund_inc,0)</f>
        <v>0.13</v>
      </c>
      <c r="AD35" s="58">
        <f t="shared" si="11"/>
        <v>1381.8846602861138</v>
      </c>
      <c r="AE35" s="75">
        <f>AD35*VLOOKUP(AA$6,Data!$A$4:$G$8,2,FALSE)</f>
        <v>13818.846602861138</v>
      </c>
      <c r="AF35" s="75">
        <f t="shared" si="12"/>
        <v>15413.328903191266</v>
      </c>
      <c r="AG35" s="61">
        <f t="shared" si="13"/>
        <v>30162.226338538596</v>
      </c>
      <c r="AH35" s="60">
        <f>'Combined Admin'!D34</f>
        <v>17500</v>
      </c>
      <c r="AI35" s="60">
        <f t="shared" si="0"/>
        <v>133333.33333333334</v>
      </c>
      <c r="AJ35" s="60">
        <f t="shared" si="14"/>
        <v>150833.33333333334</v>
      </c>
      <c r="AK35" s="60">
        <f t="shared" si="15"/>
        <v>-120671.10699479474</v>
      </c>
      <c r="AL35" s="62">
        <f t="shared" si="1"/>
        <v>1150041.0438542573</v>
      </c>
    </row>
    <row r="36" spans="1:38" x14ac:dyDescent="0.25">
      <c r="A36" s="2">
        <v>29</v>
      </c>
      <c r="B36" s="36">
        <f t="shared" si="2"/>
        <v>3</v>
      </c>
      <c r="C36" s="11">
        <f>C35*(1+VLOOKUP(C$6,Data!$A$3:$G$8,6,0))^(1/12)</f>
        <v>4759.7009506789909</v>
      </c>
      <c r="D36" s="59">
        <f>C36*VLOOKUP(C$6,Data!$A$4:$G$8,3,FALSE)</f>
        <v>2379.8504753394955</v>
      </c>
      <c r="E36" s="37">
        <f>VLOOKUP(C$6,Data!$A$3:$G$8,5,FALSE)+IF($B36=refund_inc_year,refund_inc,0)</f>
        <v>0.12000000000000001</v>
      </c>
      <c r="F36" s="58">
        <f t="shared" si="3"/>
        <v>571.16411408147894</v>
      </c>
      <c r="G36" s="75">
        <f>F36*VLOOKUP(C$6,Data!$A$4:$G$8,2,FALSE)</f>
        <v>2855.8205704073948</v>
      </c>
      <c r="H36" s="75">
        <f t="shared" si="4"/>
        <v>-475.97009506789936</v>
      </c>
      <c r="I36" s="11">
        <f>I35*(1+VLOOKUP(I$6,Data!$A$3:$G$8,6,0))^(1/12)</f>
        <v>9257.3439903563849</v>
      </c>
      <c r="J36" s="59">
        <f>I36*VLOOKUP(I$6,Data!$A$4:$G$8,3,FALSE)</f>
        <v>2777.2031971069155</v>
      </c>
      <c r="K36" s="37">
        <f>VLOOKUP(I$6,Data!$A$3:$G$8,5,FALSE)+IF($B36=refund_inc_year,refund_inc,0)</f>
        <v>0.11</v>
      </c>
      <c r="L36" s="58">
        <f t="shared" si="5"/>
        <v>1018.3078389392024</v>
      </c>
      <c r="M36" s="75">
        <f>L36*VLOOKUP(I$6,Data!$A$4:$G$8,2,FALSE)</f>
        <v>6109.8470336352148</v>
      </c>
      <c r="N36" s="75">
        <f t="shared" si="6"/>
        <v>-3332.6438365282993</v>
      </c>
      <c r="O36" s="11">
        <f>O35*(1+VLOOKUP(O$6,Data!$A$3:$G$8,6,0))^(1/12)</f>
        <v>8611.8728836861719</v>
      </c>
      <c r="P36" s="59">
        <f>O36*VLOOKUP(O$6,Data!$A$4:$G$8,3,FALSE)</f>
        <v>8611.8728836861719</v>
      </c>
      <c r="Q36" s="37">
        <f>VLOOKUP(O$6,Data!$A$3:$G$8,5,FALSE)+IF($B36=refund_inc_year,refund_inc,0)</f>
        <v>0.1</v>
      </c>
      <c r="R36" s="58">
        <f t="shared" si="7"/>
        <v>861.18728836861726</v>
      </c>
      <c r="S36" s="75">
        <f>R36*VLOOKUP(O$6,Data!$A$4:$G$8,2,FALSE)</f>
        <v>6458.9046627646294</v>
      </c>
      <c r="T36" s="75">
        <f t="shared" si="8"/>
        <v>2152.9682209215425</v>
      </c>
      <c r="U36" s="11">
        <f>U35*(1+VLOOKUP(U$6,Data!$A$3:$G$8,6,0))^(1/12)</f>
        <v>11105.968884917647</v>
      </c>
      <c r="V36" s="59">
        <f>U36*VLOOKUP(U$6,Data!$A$4:$G$8,3,FALSE)</f>
        <v>27764.922212294117</v>
      </c>
      <c r="W36" s="37">
        <f>VLOOKUP(U$6,Data!$A$3:$G$8,5,FALSE)+IF($B36=refund_inc_year,refund_inc,0)</f>
        <v>0.12000000000000001</v>
      </c>
      <c r="X36" s="58">
        <f t="shared" si="9"/>
        <v>1332.7162661901177</v>
      </c>
      <c r="Y36" s="75">
        <f>X36*VLOOKUP(U$6,Data!$A$4:$G$8,2,FALSE)</f>
        <v>11328.088262616</v>
      </c>
      <c r="Z36" s="75">
        <f t="shared" si="10"/>
        <v>16436.833949678119</v>
      </c>
      <c r="AA36" s="11">
        <f>AA35*(1+VLOOKUP(AA$6,Data!$A$3:$G$8,6,0))^(1/12)</f>
        <v>10656.098158866058</v>
      </c>
      <c r="AB36" s="59">
        <f>AA36*VLOOKUP(AA$6,Data!$A$4:$G$8,3,FALSE)</f>
        <v>29304.269936881661</v>
      </c>
      <c r="AC36" s="37">
        <f>VLOOKUP(AA$6,Data!$A$3:$G$8,5,FALSE)+IF($B36=refund_inc_year,refund_inc,0)</f>
        <v>0.13</v>
      </c>
      <c r="AD36" s="58">
        <f t="shared" si="11"/>
        <v>1385.2927606525875</v>
      </c>
      <c r="AE36" s="75">
        <f>AD36*VLOOKUP(AA$6,Data!$A$4:$G$8,2,FALSE)</f>
        <v>13852.927606525875</v>
      </c>
      <c r="AF36" s="75">
        <f t="shared" si="12"/>
        <v>15451.342330355787</v>
      </c>
      <c r="AG36" s="61">
        <f t="shared" si="13"/>
        <v>30232.530569359249</v>
      </c>
      <c r="AH36" s="60">
        <f>'Combined Admin'!D35</f>
        <v>17500</v>
      </c>
      <c r="AI36" s="60">
        <f t="shared" si="0"/>
        <v>133333.33333333334</v>
      </c>
      <c r="AJ36" s="60">
        <f t="shared" si="14"/>
        <v>150833.33333333334</v>
      </c>
      <c r="AK36" s="60">
        <f t="shared" si="15"/>
        <v>-120600.80276397409</v>
      </c>
      <c r="AL36" s="62">
        <f t="shared" si="1"/>
        <v>1277664.055833763</v>
      </c>
    </row>
    <row r="37" spans="1:38" x14ac:dyDescent="0.25">
      <c r="A37" s="2">
        <v>30</v>
      </c>
      <c r="B37" s="36">
        <f t="shared" si="2"/>
        <v>3</v>
      </c>
      <c r="C37" s="11">
        <f>C36*(1+VLOOKUP(C$6,Data!$A$3:$G$8,6,0))^(1/12)</f>
        <v>4767.5619837718641</v>
      </c>
      <c r="D37" s="59">
        <f>C37*VLOOKUP(C$6,Data!$A$4:$G$8,3,FALSE)</f>
        <v>2383.7809918859321</v>
      </c>
      <c r="E37" s="37">
        <f>VLOOKUP(C$6,Data!$A$3:$G$8,5,FALSE)+IF($B37=refund_inc_year,refund_inc,0)</f>
        <v>0.12000000000000001</v>
      </c>
      <c r="F37" s="58">
        <f t="shared" si="3"/>
        <v>572.10743805262371</v>
      </c>
      <c r="G37" s="75">
        <f>F37*VLOOKUP(C$6,Data!$A$4:$G$8,2,FALSE)</f>
        <v>2860.5371902631186</v>
      </c>
      <c r="H37" s="75">
        <f t="shared" si="4"/>
        <v>-476.75619837718659</v>
      </c>
      <c r="I37" s="11">
        <f>I36*(1+VLOOKUP(I$6,Data!$A$3:$G$8,6,0))^(1/12)</f>
        <v>9265.0233100339992</v>
      </c>
      <c r="J37" s="59">
        <f>I37*VLOOKUP(I$6,Data!$A$4:$G$8,3,FALSE)</f>
        <v>2779.5069930101995</v>
      </c>
      <c r="K37" s="37">
        <f>VLOOKUP(I$6,Data!$A$3:$G$8,5,FALSE)+IF($B37=refund_inc_year,refund_inc,0)</f>
        <v>0.11</v>
      </c>
      <c r="L37" s="58">
        <f t="shared" si="5"/>
        <v>1019.1525641037399</v>
      </c>
      <c r="M37" s="75">
        <f>L37*VLOOKUP(I$6,Data!$A$4:$G$8,2,FALSE)</f>
        <v>6114.9153846224399</v>
      </c>
      <c r="N37" s="75">
        <f t="shared" si="6"/>
        <v>-3335.4083916122404</v>
      </c>
      <c r="O37" s="11">
        <f>O36*(1+VLOOKUP(O$6,Data!$A$3:$G$8,6,0))^(1/12)</f>
        <v>8646.9587198233548</v>
      </c>
      <c r="P37" s="59">
        <f>O37*VLOOKUP(O$6,Data!$A$4:$G$8,3,FALSE)</f>
        <v>8646.9587198233548</v>
      </c>
      <c r="Q37" s="37">
        <f>VLOOKUP(O$6,Data!$A$3:$G$8,5,FALSE)+IF($B37=refund_inc_year,refund_inc,0)</f>
        <v>0.1</v>
      </c>
      <c r="R37" s="58">
        <f t="shared" si="7"/>
        <v>864.69587198233558</v>
      </c>
      <c r="S37" s="75">
        <f>R37*VLOOKUP(O$6,Data!$A$4:$G$8,2,FALSE)</f>
        <v>6485.2190398675166</v>
      </c>
      <c r="T37" s="75">
        <f t="shared" si="8"/>
        <v>2161.7396799558383</v>
      </c>
      <c r="U37" s="11">
        <f>U36*(1+VLOOKUP(U$6,Data!$A$3:$G$8,6,0))^(1/12)</f>
        <v>11124.311295467685</v>
      </c>
      <c r="V37" s="59">
        <f>U37*VLOOKUP(U$6,Data!$A$4:$G$8,3,FALSE)</f>
        <v>27810.778238669212</v>
      </c>
      <c r="W37" s="37">
        <f>VLOOKUP(U$6,Data!$A$3:$G$8,5,FALSE)+IF($B37=refund_inc_year,refund_inc,0)</f>
        <v>0.12000000000000001</v>
      </c>
      <c r="X37" s="58">
        <f t="shared" si="9"/>
        <v>1334.9173554561223</v>
      </c>
      <c r="Y37" s="75">
        <f>X37*VLOOKUP(U$6,Data!$A$4:$G$8,2,FALSE)</f>
        <v>11346.797521377041</v>
      </c>
      <c r="Z37" s="75">
        <f t="shared" si="10"/>
        <v>16463.980717292172</v>
      </c>
      <c r="AA37" s="11">
        <f>AA36*(1+VLOOKUP(AA$6,Data!$A$3:$G$8,6,0))^(1/12)</f>
        <v>10682.378971645971</v>
      </c>
      <c r="AB37" s="59">
        <f>AA37*VLOOKUP(AA$6,Data!$A$4:$G$8,3,FALSE)</f>
        <v>29376.54217202642</v>
      </c>
      <c r="AC37" s="37">
        <f>VLOOKUP(AA$6,Data!$A$3:$G$8,5,FALSE)+IF($B37=refund_inc_year,refund_inc,0)</f>
        <v>0.13</v>
      </c>
      <c r="AD37" s="58">
        <f t="shared" si="11"/>
        <v>1388.7092663139763</v>
      </c>
      <c r="AE37" s="75">
        <f>AD37*VLOOKUP(AA$6,Data!$A$4:$G$8,2,FALSE)</f>
        <v>13887.092663139763</v>
      </c>
      <c r="AF37" s="75">
        <f t="shared" si="12"/>
        <v>15489.449508886657</v>
      </c>
      <c r="AG37" s="61">
        <f t="shared" si="13"/>
        <v>30303.005316145238</v>
      </c>
      <c r="AH37" s="60">
        <f>'Combined Admin'!D36</f>
        <v>17500</v>
      </c>
      <c r="AI37" s="60">
        <f t="shared" si="0"/>
        <v>133333.33333333334</v>
      </c>
      <c r="AJ37" s="60">
        <f t="shared" si="14"/>
        <v>150833.33333333334</v>
      </c>
      <c r="AK37" s="60">
        <f t="shared" si="15"/>
        <v>-120530.32801718811</v>
      </c>
      <c r="AL37" s="62">
        <f t="shared" si="1"/>
        <v>1405988.2343555002</v>
      </c>
    </row>
    <row r="38" spans="1:38" x14ac:dyDescent="0.25">
      <c r="A38" s="2">
        <v>31</v>
      </c>
      <c r="B38" s="36">
        <f t="shared" si="2"/>
        <v>3</v>
      </c>
      <c r="C38" s="11">
        <f>C37*(1+VLOOKUP(C$6,Data!$A$3:$G$8,6,0))^(1/12)</f>
        <v>4775.436000000007</v>
      </c>
      <c r="D38" s="59">
        <f>C38*VLOOKUP(C$6,Data!$A$4:$G$8,3,FALSE)</f>
        <v>2387.7180000000035</v>
      </c>
      <c r="E38" s="37">
        <f>VLOOKUP(C$6,Data!$A$3:$G$8,5,FALSE)+IF($B38=refund_inc_year,refund_inc,0)</f>
        <v>0.12000000000000001</v>
      </c>
      <c r="F38" s="58">
        <f t="shared" si="3"/>
        <v>573.05232000000092</v>
      </c>
      <c r="G38" s="75">
        <f>F38*VLOOKUP(C$6,Data!$A$4:$G$8,2,FALSE)</f>
        <v>2865.2616000000044</v>
      </c>
      <c r="H38" s="75">
        <f t="shared" si="4"/>
        <v>-477.54360000000088</v>
      </c>
      <c r="I38" s="11">
        <f>I37*(1+VLOOKUP(I$6,Data!$A$3:$G$8,6,0))^(1/12)</f>
        <v>9272.7089999999789</v>
      </c>
      <c r="J38" s="59">
        <f>I38*VLOOKUP(I$6,Data!$A$4:$G$8,3,FALSE)</f>
        <v>2781.8126999999936</v>
      </c>
      <c r="K38" s="37">
        <f>VLOOKUP(I$6,Data!$A$3:$G$8,5,FALSE)+IF($B38=refund_inc_year,refund_inc,0)</f>
        <v>0.11</v>
      </c>
      <c r="L38" s="58">
        <f t="shared" si="5"/>
        <v>1019.9979899999977</v>
      </c>
      <c r="M38" s="75">
        <f>L38*VLOOKUP(I$6,Data!$A$4:$G$8,2,FALSE)</f>
        <v>6119.9879399999863</v>
      </c>
      <c r="N38" s="75">
        <f t="shared" si="6"/>
        <v>-3338.1752399999928</v>
      </c>
      <c r="O38" s="11">
        <f>O37*(1+VLOOKUP(O$6,Data!$A$3:$G$8,6,0))^(1/12)</f>
        <v>8682.1875000000127</v>
      </c>
      <c r="P38" s="59">
        <f>O38*VLOOKUP(O$6,Data!$A$4:$G$8,3,FALSE)</f>
        <v>8682.1875000000127</v>
      </c>
      <c r="Q38" s="37">
        <f>VLOOKUP(O$6,Data!$A$3:$G$8,5,FALSE)+IF($B38=refund_inc_year,refund_inc,0)</f>
        <v>0.1</v>
      </c>
      <c r="R38" s="58">
        <f t="shared" si="7"/>
        <v>868.21875000000136</v>
      </c>
      <c r="S38" s="75">
        <f>R38*VLOOKUP(O$6,Data!$A$4:$G$8,2,FALSE)</f>
        <v>6511.64062500001</v>
      </c>
      <c r="T38" s="75">
        <f t="shared" si="8"/>
        <v>2170.5468750000027</v>
      </c>
      <c r="U38" s="11">
        <f>U37*(1+VLOOKUP(U$6,Data!$A$3:$G$8,6,0))^(1/12)</f>
        <v>11142.684000000019</v>
      </c>
      <c r="V38" s="59">
        <f>U38*VLOOKUP(U$6,Data!$A$4:$G$8,3,FALSE)</f>
        <v>27856.71000000005</v>
      </c>
      <c r="W38" s="37">
        <f>VLOOKUP(U$6,Data!$A$3:$G$8,5,FALSE)+IF($B38=refund_inc_year,refund_inc,0)</f>
        <v>0.12000000000000001</v>
      </c>
      <c r="X38" s="58">
        <f t="shared" si="9"/>
        <v>1337.1220800000024</v>
      </c>
      <c r="Y38" s="75">
        <f>X38*VLOOKUP(U$6,Data!$A$4:$G$8,2,FALSE)</f>
        <v>11365.537680000019</v>
      </c>
      <c r="Z38" s="75">
        <f t="shared" si="10"/>
        <v>16491.172320000031</v>
      </c>
      <c r="AA38" s="11">
        <f>AA37*(1+VLOOKUP(AA$6,Data!$A$3:$G$8,6,0))^(1/12)</f>
        <v>10708.724600000034</v>
      </c>
      <c r="AB38" s="59">
        <f>AA38*VLOOKUP(AA$6,Data!$A$4:$G$8,3,FALSE)</f>
        <v>29448.992650000095</v>
      </c>
      <c r="AC38" s="37">
        <f>VLOOKUP(AA$6,Data!$A$3:$G$8,5,FALSE)+IF($B38=refund_inc_year,refund_inc,0)</f>
        <v>0.13</v>
      </c>
      <c r="AD38" s="58">
        <f t="shared" si="11"/>
        <v>1392.1341980000045</v>
      </c>
      <c r="AE38" s="75">
        <f>AD38*VLOOKUP(AA$6,Data!$A$4:$G$8,2,FALSE)</f>
        <v>13921.341980000045</v>
      </c>
      <c r="AF38" s="75">
        <f t="shared" si="12"/>
        <v>15527.65067000005</v>
      </c>
      <c r="AG38" s="61">
        <f t="shared" si="13"/>
        <v>30373.65102500009</v>
      </c>
      <c r="AH38" s="60">
        <f>'Combined Admin'!D37</f>
        <v>17500</v>
      </c>
      <c r="AI38" s="60">
        <f t="shared" si="0"/>
        <v>133333.33333333334</v>
      </c>
      <c r="AJ38" s="60">
        <f t="shared" si="14"/>
        <v>150833.33333333334</v>
      </c>
      <c r="AK38" s="60">
        <f t="shared" si="15"/>
        <v>-120459.68230833326</v>
      </c>
      <c r="AL38" s="62">
        <f t="shared" si="1"/>
        <v>1535017.6473984742</v>
      </c>
    </row>
    <row r="39" spans="1:38" x14ac:dyDescent="0.25">
      <c r="A39" s="2">
        <v>32</v>
      </c>
      <c r="B39" s="36">
        <f t="shared" si="2"/>
        <v>3</v>
      </c>
      <c r="C39" s="11">
        <f>C38*(1+VLOOKUP(C$6,Data!$A$3:$G$8,6,0))^(1/12)</f>
        <v>4783.3230208061241</v>
      </c>
      <c r="D39" s="59">
        <f>C39*VLOOKUP(C$6,Data!$A$4:$G$8,3,FALSE)</f>
        <v>2391.661510403062</v>
      </c>
      <c r="E39" s="37">
        <f>VLOOKUP(C$6,Data!$A$3:$G$8,5,FALSE)+IF($B39=refund_inc_year,refund_inc,0)</f>
        <v>0.12000000000000001</v>
      </c>
      <c r="F39" s="58">
        <f t="shared" si="3"/>
        <v>573.99876249673491</v>
      </c>
      <c r="G39" s="75">
        <f>F39*VLOOKUP(C$6,Data!$A$4:$G$8,2,FALSE)</f>
        <v>2869.9938124836744</v>
      </c>
      <c r="H39" s="75">
        <f t="shared" si="4"/>
        <v>-478.33230208061241</v>
      </c>
      <c r="I39" s="11">
        <f>I38*(1+VLOOKUP(I$6,Data!$A$3:$G$8,6,0))^(1/12)</f>
        <v>9280.4010655387192</v>
      </c>
      <c r="J39" s="59">
        <f>I39*VLOOKUP(I$6,Data!$A$4:$G$8,3,FALSE)</f>
        <v>2784.1203196616157</v>
      </c>
      <c r="K39" s="37">
        <f>VLOOKUP(I$6,Data!$A$3:$G$8,5,FALSE)+IF($B39=refund_inc_year,refund_inc,0)</f>
        <v>0.11</v>
      </c>
      <c r="L39" s="58">
        <f t="shared" si="5"/>
        <v>1020.8441172092591</v>
      </c>
      <c r="M39" s="75">
        <f>L39*VLOOKUP(I$6,Data!$A$4:$G$8,2,FALSE)</f>
        <v>6125.0647032555553</v>
      </c>
      <c r="N39" s="75">
        <f t="shared" si="6"/>
        <v>-3340.9443835939396</v>
      </c>
      <c r="O39" s="11">
        <f>O38*(1+VLOOKUP(O$6,Data!$A$3:$G$8,6,0))^(1/12)</f>
        <v>8717.5598065878567</v>
      </c>
      <c r="P39" s="59">
        <f>O39*VLOOKUP(O$6,Data!$A$4:$G$8,3,FALSE)</f>
        <v>8717.5598065878567</v>
      </c>
      <c r="Q39" s="37">
        <f>VLOOKUP(O$6,Data!$A$3:$G$8,5,FALSE)+IF($B39=refund_inc_year,refund_inc,0)</f>
        <v>0.1</v>
      </c>
      <c r="R39" s="58">
        <f t="shared" si="7"/>
        <v>871.75598065878569</v>
      </c>
      <c r="S39" s="75">
        <f>R39*VLOOKUP(O$6,Data!$A$4:$G$8,2,FALSE)</f>
        <v>6538.1698549408929</v>
      </c>
      <c r="T39" s="75">
        <f t="shared" si="8"/>
        <v>2179.3899516469637</v>
      </c>
      <c r="U39" s="11">
        <f>U38*(1+VLOOKUP(U$6,Data!$A$3:$G$8,6,0))^(1/12)</f>
        <v>11161.087048547624</v>
      </c>
      <c r="V39" s="59">
        <f>U39*VLOOKUP(U$6,Data!$A$4:$G$8,3,FALSE)</f>
        <v>27902.717621369062</v>
      </c>
      <c r="W39" s="37">
        <f>VLOOKUP(U$6,Data!$A$3:$G$8,5,FALSE)+IF($B39=refund_inc_year,refund_inc,0)</f>
        <v>0.12000000000000001</v>
      </c>
      <c r="X39" s="58">
        <f t="shared" si="9"/>
        <v>1339.3304458257151</v>
      </c>
      <c r="Y39" s="75">
        <f>X39*VLOOKUP(U$6,Data!$A$4:$G$8,2,FALSE)</f>
        <v>11384.308789518578</v>
      </c>
      <c r="Z39" s="75">
        <f t="shared" si="10"/>
        <v>16518.408831850484</v>
      </c>
      <c r="AA39" s="11">
        <f>AA38*(1+VLOOKUP(AA$6,Data!$A$3:$G$8,6,0))^(1/12)</f>
        <v>10735.135203780939</v>
      </c>
      <c r="AB39" s="59">
        <f>AA39*VLOOKUP(AA$6,Data!$A$4:$G$8,3,FALSE)</f>
        <v>29521.621810397584</v>
      </c>
      <c r="AC39" s="37">
        <f>VLOOKUP(AA$6,Data!$A$3:$G$8,5,FALSE)+IF($B39=refund_inc_year,refund_inc,0)</f>
        <v>0.13</v>
      </c>
      <c r="AD39" s="58">
        <f t="shared" si="11"/>
        <v>1395.5675764915222</v>
      </c>
      <c r="AE39" s="75">
        <f>AD39*VLOOKUP(AA$6,Data!$A$4:$G$8,2,FALSE)</f>
        <v>13955.675764915222</v>
      </c>
      <c r="AF39" s="75">
        <f t="shared" si="12"/>
        <v>15565.946045482362</v>
      </c>
      <c r="AG39" s="61">
        <f t="shared" si="13"/>
        <v>30444.468143305257</v>
      </c>
      <c r="AH39" s="60">
        <f>'Combined Admin'!D38</f>
        <v>17500</v>
      </c>
      <c r="AI39" s="60">
        <f t="shared" si="0"/>
        <v>133333.33333333334</v>
      </c>
      <c r="AJ39" s="60">
        <f t="shared" si="14"/>
        <v>150833.33333333334</v>
      </c>
      <c r="AK39" s="60">
        <f t="shared" si="15"/>
        <v>-120388.86519002808</v>
      </c>
      <c r="AL39" s="62">
        <f t="shared" si="1"/>
        <v>1664756.3870861901</v>
      </c>
    </row>
    <row r="40" spans="1:38" x14ac:dyDescent="0.25">
      <c r="A40" s="2">
        <v>33</v>
      </c>
      <c r="B40" s="36">
        <f t="shared" si="2"/>
        <v>3</v>
      </c>
      <c r="C40" s="11">
        <f>C39*(1+VLOOKUP(C$6,Data!$A$3:$G$8,6,0))^(1/12)</f>
        <v>4791.2230676683321</v>
      </c>
      <c r="D40" s="59">
        <f>C40*VLOOKUP(C$6,Data!$A$4:$G$8,3,FALSE)</f>
        <v>2395.611533834166</v>
      </c>
      <c r="E40" s="37">
        <f>VLOOKUP(C$6,Data!$A$3:$G$8,5,FALSE)+IF($B40=refund_inc_year,refund_inc,0)</f>
        <v>0.12000000000000001</v>
      </c>
      <c r="F40" s="58">
        <f t="shared" si="3"/>
        <v>574.94676812019986</v>
      </c>
      <c r="G40" s="75">
        <f>F40*VLOOKUP(C$6,Data!$A$4:$G$8,2,FALSE)</f>
        <v>2874.7338406009994</v>
      </c>
      <c r="H40" s="75">
        <f t="shared" si="4"/>
        <v>-479.12230676683339</v>
      </c>
      <c r="I40" s="11">
        <f>I39*(1+VLOOKUP(I$6,Data!$A$3:$G$8,6,0))^(1/12)</f>
        <v>9288.0995119390027</v>
      </c>
      <c r="J40" s="59">
        <f>I40*VLOOKUP(I$6,Data!$A$4:$G$8,3,FALSE)</f>
        <v>2786.4298535817006</v>
      </c>
      <c r="K40" s="37">
        <f>VLOOKUP(I$6,Data!$A$3:$G$8,5,FALSE)+IF($B40=refund_inc_year,refund_inc,0)</f>
        <v>0.11</v>
      </c>
      <c r="L40" s="58">
        <f t="shared" si="5"/>
        <v>1021.6909463132903</v>
      </c>
      <c r="M40" s="75">
        <f>L40*VLOOKUP(I$6,Data!$A$4:$G$8,2,FALSE)</f>
        <v>6130.1456778797419</v>
      </c>
      <c r="N40" s="75">
        <f t="shared" si="6"/>
        <v>-3343.7158242980413</v>
      </c>
      <c r="O40" s="11">
        <f>O39*(1+VLOOKUP(O$6,Data!$A$3:$G$8,6,0))^(1/12)</f>
        <v>8753.0762243312529</v>
      </c>
      <c r="P40" s="59">
        <f>O40*VLOOKUP(O$6,Data!$A$4:$G$8,3,FALSE)</f>
        <v>8753.0762243312529</v>
      </c>
      <c r="Q40" s="37">
        <f>VLOOKUP(O$6,Data!$A$3:$G$8,5,FALSE)+IF($B40=refund_inc_year,refund_inc,0)</f>
        <v>0.1</v>
      </c>
      <c r="R40" s="58">
        <f t="shared" si="7"/>
        <v>875.30762243312529</v>
      </c>
      <c r="S40" s="75">
        <f>R40*VLOOKUP(O$6,Data!$A$4:$G$8,2,FALSE)</f>
        <v>6564.8071682484397</v>
      </c>
      <c r="T40" s="75">
        <f t="shared" si="8"/>
        <v>2188.2690560828132</v>
      </c>
      <c r="U40" s="11">
        <f>U39*(1+VLOOKUP(U$6,Data!$A$3:$G$8,6,0))^(1/12)</f>
        <v>11179.520491226109</v>
      </c>
      <c r="V40" s="59">
        <f>U40*VLOOKUP(U$6,Data!$A$4:$G$8,3,FALSE)</f>
        <v>27948.801228065273</v>
      </c>
      <c r="W40" s="37">
        <f>VLOOKUP(U$6,Data!$A$3:$G$8,5,FALSE)+IF($B40=refund_inc_year,refund_inc,0)</f>
        <v>0.12000000000000001</v>
      </c>
      <c r="X40" s="58">
        <f t="shared" si="9"/>
        <v>1341.5424589471331</v>
      </c>
      <c r="Y40" s="75">
        <f>X40*VLOOKUP(U$6,Data!$A$4:$G$8,2,FALSE)</f>
        <v>11403.110901050632</v>
      </c>
      <c r="Z40" s="75">
        <f t="shared" si="10"/>
        <v>16545.690327014643</v>
      </c>
      <c r="AA40" s="11">
        <f>AA39*(1+VLOOKUP(AA$6,Data!$A$3:$G$8,6,0))^(1/12)</f>
        <v>10761.610943235617</v>
      </c>
      <c r="AB40" s="59">
        <f>AA40*VLOOKUP(AA$6,Data!$A$4:$G$8,3,FALSE)</f>
        <v>29594.430093897947</v>
      </c>
      <c r="AC40" s="37">
        <f>VLOOKUP(AA$6,Data!$A$3:$G$8,5,FALSE)+IF($B40=refund_inc_year,refund_inc,0)</f>
        <v>0.13</v>
      </c>
      <c r="AD40" s="58">
        <f t="shared" si="11"/>
        <v>1399.0094226206302</v>
      </c>
      <c r="AE40" s="75">
        <f>AD40*VLOOKUP(AA$6,Data!$A$4:$G$8,2,FALSE)</f>
        <v>13990.094226206302</v>
      </c>
      <c r="AF40" s="75">
        <f t="shared" si="12"/>
        <v>15604.335867691645</v>
      </c>
      <c r="AG40" s="61">
        <f t="shared" si="13"/>
        <v>30515.457119724226</v>
      </c>
      <c r="AH40" s="60">
        <f>'Combined Admin'!D39</f>
        <v>17500</v>
      </c>
      <c r="AI40" s="60">
        <f t="shared" ref="AI40:AI71" si="16">IF($B40=imp_cost_year,imp_cost/12,0)</f>
        <v>133333.33333333334</v>
      </c>
      <c r="AJ40" s="60">
        <f t="shared" si="14"/>
        <v>150833.33333333334</v>
      </c>
      <c r="AK40" s="60">
        <f t="shared" si="15"/>
        <v>-120317.87621360912</v>
      </c>
      <c r="AL40" s="62">
        <f t="shared" ref="AL40:AL71" si="17">(AK40+AL41)/(1+disc_rate)^(1/12)</f>
        <v>1795208.5698313264</v>
      </c>
    </row>
    <row r="41" spans="1:38" x14ac:dyDescent="0.25">
      <c r="A41" s="2">
        <v>34</v>
      </c>
      <c r="B41" s="36">
        <f t="shared" si="2"/>
        <v>3</v>
      </c>
      <c r="C41" s="11">
        <f>C40*(1+VLOOKUP(C$6,Data!$A$3:$G$8,6,0))^(1/12)</f>
        <v>4799.1361621002216</v>
      </c>
      <c r="D41" s="59">
        <f>C41*VLOOKUP(C$6,Data!$A$4:$G$8,3,FALSE)</f>
        <v>2399.5680810501108</v>
      </c>
      <c r="E41" s="37">
        <f>VLOOKUP(C$6,Data!$A$3:$G$8,5,FALSE)+IF($B41=refund_inc_year,refund_inc,0)</f>
        <v>0.12000000000000001</v>
      </c>
      <c r="F41" s="58">
        <f t="shared" si="3"/>
        <v>575.89633945202661</v>
      </c>
      <c r="G41" s="75">
        <f>F41*VLOOKUP(C$6,Data!$A$4:$G$8,2,FALSE)</f>
        <v>2879.4816972601329</v>
      </c>
      <c r="H41" s="75">
        <f t="shared" si="4"/>
        <v>-479.91361621002216</v>
      </c>
      <c r="I41" s="11">
        <f>I40*(1+VLOOKUP(I$6,Data!$A$3:$G$8,6,0))^(1/12)</f>
        <v>9295.8043444939958</v>
      </c>
      <c r="J41" s="59">
        <f>I41*VLOOKUP(I$6,Data!$A$4:$G$8,3,FALSE)</f>
        <v>2788.7413033481985</v>
      </c>
      <c r="K41" s="37">
        <f>VLOOKUP(I$6,Data!$A$3:$G$8,5,FALSE)+IF($B41=refund_inc_year,refund_inc,0)</f>
        <v>0.11</v>
      </c>
      <c r="L41" s="58">
        <f t="shared" si="5"/>
        <v>1022.5384778943395</v>
      </c>
      <c r="M41" s="75">
        <f>L41*VLOOKUP(I$6,Data!$A$4:$G$8,2,FALSE)</f>
        <v>6135.2308673660373</v>
      </c>
      <c r="N41" s="75">
        <f t="shared" si="6"/>
        <v>-3346.4895640178388</v>
      </c>
      <c r="O41" s="11">
        <f>O40*(1+VLOOKUP(O$6,Data!$A$3:$G$8,6,0))^(1/12)</f>
        <v>8788.7373403568872</v>
      </c>
      <c r="P41" s="59">
        <f>O41*VLOOKUP(O$6,Data!$A$4:$G$8,3,FALSE)</f>
        <v>8788.7373403568872</v>
      </c>
      <c r="Q41" s="37">
        <f>VLOOKUP(O$6,Data!$A$3:$G$8,5,FALSE)+IF($B41=refund_inc_year,refund_inc,0)</f>
        <v>0.1</v>
      </c>
      <c r="R41" s="58">
        <f t="shared" si="7"/>
        <v>878.87373403568881</v>
      </c>
      <c r="S41" s="75">
        <f>R41*VLOOKUP(O$6,Data!$A$4:$G$8,2,FALSE)</f>
        <v>6591.5530052676659</v>
      </c>
      <c r="T41" s="75">
        <f t="shared" si="8"/>
        <v>2197.1843350892213</v>
      </c>
      <c r="U41" s="11">
        <f>U40*(1+VLOOKUP(U$6,Data!$A$3:$G$8,6,0))^(1/12)</f>
        <v>11197.984378233852</v>
      </c>
      <c r="V41" s="59">
        <f>U41*VLOOKUP(U$6,Data!$A$4:$G$8,3,FALSE)</f>
        <v>27994.960945584629</v>
      </c>
      <c r="W41" s="37">
        <f>VLOOKUP(U$6,Data!$A$3:$G$8,5,FALSE)+IF($B41=refund_inc_year,refund_inc,0)</f>
        <v>0.12000000000000001</v>
      </c>
      <c r="X41" s="58">
        <f t="shared" si="9"/>
        <v>1343.7581253880624</v>
      </c>
      <c r="Y41" s="75">
        <f>X41*VLOOKUP(U$6,Data!$A$4:$G$8,2,FALSE)</f>
        <v>11421.944065798531</v>
      </c>
      <c r="Z41" s="75">
        <f t="shared" si="10"/>
        <v>16573.016879786097</v>
      </c>
      <c r="AA41" s="11">
        <f>AA40*(1+VLOOKUP(AA$6,Data!$A$3:$G$8,6,0))^(1/12)</f>
        <v>10788.151979006212</v>
      </c>
      <c r="AB41" s="59">
        <f>AA41*VLOOKUP(AA$6,Data!$A$4:$G$8,3,FALSE)</f>
        <v>29667.417942267082</v>
      </c>
      <c r="AC41" s="37">
        <f>VLOOKUP(AA$6,Data!$A$3:$G$8,5,FALSE)+IF($B41=refund_inc_year,refund_inc,0)</f>
        <v>0.13</v>
      </c>
      <c r="AD41" s="58">
        <f t="shared" si="11"/>
        <v>1402.4597572708076</v>
      </c>
      <c r="AE41" s="75">
        <f>AD41*VLOOKUP(AA$6,Data!$A$4:$G$8,2,FALSE)</f>
        <v>14024.597572708077</v>
      </c>
      <c r="AF41" s="75">
        <f t="shared" si="12"/>
        <v>15642.820369559005</v>
      </c>
      <c r="AG41" s="61">
        <f t="shared" si="13"/>
        <v>30586.618404206463</v>
      </c>
      <c r="AH41" s="60">
        <f>'Combined Admin'!D40</f>
        <v>17500</v>
      </c>
      <c r="AI41" s="60">
        <f t="shared" si="16"/>
        <v>133333.33333333334</v>
      </c>
      <c r="AJ41" s="60">
        <f t="shared" si="14"/>
        <v>150833.33333333334</v>
      </c>
      <c r="AK41" s="60">
        <f t="shared" si="15"/>
        <v>-120246.71492912687</v>
      </c>
      <c r="AL41" s="62">
        <f t="shared" si="17"/>
        <v>1926378.3364812804</v>
      </c>
    </row>
    <row r="42" spans="1:38" x14ac:dyDescent="0.25">
      <c r="A42" s="2">
        <v>35</v>
      </c>
      <c r="B42" s="36">
        <f t="shared" si="2"/>
        <v>3</v>
      </c>
      <c r="C42" s="11">
        <f>C41*(1+VLOOKUP(C$6,Data!$A$3:$G$8,6,0))^(1/12)</f>
        <v>4807.0623256509152</v>
      </c>
      <c r="D42" s="59">
        <f>C42*VLOOKUP(C$6,Data!$A$4:$G$8,3,FALSE)</f>
        <v>2403.5311628254576</v>
      </c>
      <c r="E42" s="37">
        <f>VLOOKUP(C$6,Data!$A$3:$G$8,5,FALSE)+IF($B42=refund_inc_year,refund_inc,0)</f>
        <v>0.12000000000000001</v>
      </c>
      <c r="F42" s="58">
        <f t="shared" si="3"/>
        <v>576.84747907810993</v>
      </c>
      <c r="G42" s="75">
        <f>F42*VLOOKUP(C$6,Data!$A$4:$G$8,2,FALSE)</f>
        <v>2884.2373953905499</v>
      </c>
      <c r="H42" s="75">
        <f t="shared" si="4"/>
        <v>-480.70623256509225</v>
      </c>
      <c r="I42" s="11">
        <f>I41*(1+VLOOKUP(I$6,Data!$A$3:$G$8,6,0))^(1/12)</f>
        <v>9303.5155685012578</v>
      </c>
      <c r="J42" s="59">
        <f>I42*VLOOKUP(I$6,Data!$A$4:$G$8,3,FALSE)</f>
        <v>2791.0546705503771</v>
      </c>
      <c r="K42" s="37">
        <f>VLOOKUP(I$6,Data!$A$3:$G$8,5,FALSE)+IF($B42=refund_inc_year,refund_inc,0)</f>
        <v>0.11</v>
      </c>
      <c r="L42" s="58">
        <f t="shared" si="5"/>
        <v>1023.3867125351384</v>
      </c>
      <c r="M42" s="75">
        <f>L42*VLOOKUP(I$6,Data!$A$4:$G$8,2,FALSE)</f>
        <v>6140.32027521083</v>
      </c>
      <c r="N42" s="75">
        <f t="shared" si="6"/>
        <v>-3349.2656046604529</v>
      </c>
      <c r="O42" s="11">
        <f>O41*(1+VLOOKUP(O$6,Data!$A$3:$G$8,6,0))^(1/12)</f>
        <v>8824.5437441834729</v>
      </c>
      <c r="P42" s="59">
        <f>O42*VLOOKUP(O$6,Data!$A$4:$G$8,3,FALSE)</f>
        <v>8824.5437441834729</v>
      </c>
      <c r="Q42" s="37">
        <f>VLOOKUP(O$6,Data!$A$3:$G$8,5,FALSE)+IF($B42=refund_inc_year,refund_inc,0)</f>
        <v>0.1</v>
      </c>
      <c r="R42" s="58">
        <f t="shared" si="7"/>
        <v>882.45437441834736</v>
      </c>
      <c r="S42" s="75">
        <f>R42*VLOOKUP(O$6,Data!$A$4:$G$8,2,FALSE)</f>
        <v>6618.4078081376056</v>
      </c>
      <c r="T42" s="75">
        <f t="shared" si="8"/>
        <v>2206.1359360458673</v>
      </c>
      <c r="U42" s="11">
        <f>U41*(1+VLOOKUP(U$6,Data!$A$3:$G$8,6,0))^(1/12)</f>
        <v>11216.478759852138</v>
      </c>
      <c r="V42" s="59">
        <f>U42*VLOOKUP(U$6,Data!$A$4:$G$8,3,FALSE)</f>
        <v>28041.196899630344</v>
      </c>
      <c r="W42" s="37">
        <f>VLOOKUP(U$6,Data!$A$3:$G$8,5,FALSE)+IF($B42=refund_inc_year,refund_inc,0)</f>
        <v>0.12000000000000001</v>
      </c>
      <c r="X42" s="58">
        <f t="shared" si="9"/>
        <v>1345.9774511822566</v>
      </c>
      <c r="Y42" s="75">
        <f>X42*VLOOKUP(U$6,Data!$A$4:$G$8,2,FALSE)</f>
        <v>11440.808335049182</v>
      </c>
      <c r="Z42" s="75">
        <f t="shared" si="10"/>
        <v>16600.388564581161</v>
      </c>
      <c r="AA42" s="11">
        <f>AA41*(1+VLOOKUP(AA$6,Data!$A$3:$G$8,6,0))^(1/12)</f>
        <v>10814.758472131054</v>
      </c>
      <c r="AB42" s="59">
        <f>AA42*VLOOKUP(AA$6,Data!$A$4:$G$8,3,FALSE)</f>
        <v>29740.5857983604</v>
      </c>
      <c r="AC42" s="37">
        <f>VLOOKUP(AA$6,Data!$A$3:$G$8,5,FALSE)+IF($B42=refund_inc_year,refund_inc,0)</f>
        <v>0.13</v>
      </c>
      <c r="AD42" s="58">
        <f t="shared" si="11"/>
        <v>1405.918601377037</v>
      </c>
      <c r="AE42" s="75">
        <f>AD42*VLOOKUP(AA$6,Data!$A$4:$G$8,2,FALSE)</f>
        <v>14059.18601377037</v>
      </c>
      <c r="AF42" s="75">
        <f t="shared" si="12"/>
        <v>15681.39978459003</v>
      </c>
      <c r="AG42" s="61">
        <f t="shared" si="13"/>
        <v>30657.952447991513</v>
      </c>
      <c r="AH42" s="60">
        <f>'Combined Admin'!D41</f>
        <v>17500</v>
      </c>
      <c r="AI42" s="60">
        <f t="shared" si="16"/>
        <v>133333.33333333334</v>
      </c>
      <c r="AJ42" s="60">
        <f t="shared" si="14"/>
        <v>150833.33333333334</v>
      </c>
      <c r="AK42" s="60">
        <f t="shared" si="15"/>
        <v>-120175.38088534183</v>
      </c>
      <c r="AL42" s="62">
        <f t="shared" si="17"/>
        <v>2058269.8524645865</v>
      </c>
    </row>
    <row r="43" spans="1:38" x14ac:dyDescent="0.25">
      <c r="A43" s="2">
        <v>36</v>
      </c>
      <c r="B43" s="36">
        <f t="shared" si="2"/>
        <v>3</v>
      </c>
      <c r="C43" s="11">
        <f>C42*(1+VLOOKUP(C$6,Data!$A$3:$G$8,6,0))^(1/12)</f>
        <v>4815.0015799051253</v>
      </c>
      <c r="D43" s="59">
        <f>C43*VLOOKUP(C$6,Data!$A$4:$G$8,3,FALSE)</f>
        <v>2407.5007899525626</v>
      </c>
      <c r="E43" s="37">
        <f>VLOOKUP(C$6,Data!$A$3:$G$8,5,FALSE)+IF($B43=refund_inc_year,refund_inc,0)</f>
        <v>0.12000000000000001</v>
      </c>
      <c r="F43" s="58">
        <f t="shared" si="3"/>
        <v>577.80018958861513</v>
      </c>
      <c r="G43" s="75">
        <f>F43*VLOOKUP(C$6,Data!$A$4:$G$8,2,FALSE)</f>
        <v>2889.0009479430755</v>
      </c>
      <c r="H43" s="75">
        <f t="shared" si="4"/>
        <v>-481.50015799051289</v>
      </c>
      <c r="I43" s="11">
        <f>I42*(1+VLOOKUP(I$6,Data!$A$3:$G$8,6,0))^(1/12)</f>
        <v>9311.2331892627426</v>
      </c>
      <c r="J43" s="59">
        <f>I43*VLOOKUP(I$6,Data!$A$4:$G$8,3,FALSE)</f>
        <v>2793.3699567788226</v>
      </c>
      <c r="K43" s="37">
        <f>VLOOKUP(I$6,Data!$A$3:$G$8,5,FALSE)+IF($B43=refund_inc_year,refund_inc,0)</f>
        <v>0.11</v>
      </c>
      <c r="L43" s="58">
        <f t="shared" si="5"/>
        <v>1024.2356508189016</v>
      </c>
      <c r="M43" s="75">
        <f>L43*VLOOKUP(I$6,Data!$A$4:$G$8,2,FALSE)</f>
        <v>6145.4139049134101</v>
      </c>
      <c r="N43" s="75">
        <f t="shared" si="6"/>
        <v>-3352.0439481345875</v>
      </c>
      <c r="O43" s="11">
        <f>O42*(1+VLOOKUP(O$6,Data!$A$3:$G$8,6,0))^(1/12)</f>
        <v>8860.4960277314967</v>
      </c>
      <c r="P43" s="59">
        <f>O43*VLOOKUP(O$6,Data!$A$4:$G$8,3,FALSE)</f>
        <v>8860.4960277314967</v>
      </c>
      <c r="Q43" s="37">
        <f>VLOOKUP(O$6,Data!$A$3:$G$8,5,FALSE)+IF($B43=refund_inc_year,refund_inc,0)</f>
        <v>0.1</v>
      </c>
      <c r="R43" s="58">
        <f t="shared" si="7"/>
        <v>886.04960277314967</v>
      </c>
      <c r="S43" s="75">
        <f>R43*VLOOKUP(O$6,Data!$A$4:$G$8,2,FALSE)</f>
        <v>6645.3720207986225</v>
      </c>
      <c r="T43" s="75">
        <f t="shared" si="8"/>
        <v>2215.1240069328742</v>
      </c>
      <c r="U43" s="11">
        <f>U42*(1+VLOOKUP(U$6,Data!$A$3:$G$8,6,0))^(1/12)</f>
        <v>11235.003686445296</v>
      </c>
      <c r="V43" s="59">
        <f>U43*VLOOKUP(U$6,Data!$A$4:$G$8,3,FALSE)</f>
        <v>28087.509216113242</v>
      </c>
      <c r="W43" s="37">
        <f>VLOOKUP(U$6,Data!$A$3:$G$8,5,FALSE)+IF($B43=refund_inc_year,refund_inc,0)</f>
        <v>0.12000000000000001</v>
      </c>
      <c r="X43" s="58">
        <f t="shared" si="9"/>
        <v>1348.2004423734356</v>
      </c>
      <c r="Y43" s="75">
        <f>X43*VLOOKUP(U$6,Data!$A$4:$G$8,2,FALSE)</f>
        <v>11459.703760174203</v>
      </c>
      <c r="Z43" s="75">
        <f t="shared" si="10"/>
        <v>16627.805455939037</v>
      </c>
      <c r="AA43" s="11">
        <f>AA42*(1+VLOOKUP(AA$6,Data!$A$3:$G$8,6,0))^(1/12)</f>
        <v>10841.430584045636</v>
      </c>
      <c r="AB43" s="59">
        <f>AA43*VLOOKUP(AA$6,Data!$A$4:$G$8,3,FALSE)</f>
        <v>29813.9341061255</v>
      </c>
      <c r="AC43" s="37">
        <f>VLOOKUP(AA$6,Data!$A$3:$G$8,5,FALSE)+IF($B43=refund_inc_year,refund_inc,0)</f>
        <v>0.13</v>
      </c>
      <c r="AD43" s="58">
        <f t="shared" si="11"/>
        <v>1409.3859759259328</v>
      </c>
      <c r="AE43" s="75">
        <f>AD43*VLOOKUP(AA$6,Data!$A$4:$G$8,2,FALSE)</f>
        <v>14093.859759259329</v>
      </c>
      <c r="AF43" s="75">
        <f t="shared" si="12"/>
        <v>15720.074346866171</v>
      </c>
      <c r="AG43" s="61">
        <f t="shared" si="13"/>
        <v>30729.459703612982</v>
      </c>
      <c r="AH43" s="60">
        <f>'Combined Admin'!D42</f>
        <v>17500</v>
      </c>
      <c r="AI43" s="60">
        <f t="shared" si="16"/>
        <v>133333.33333333334</v>
      </c>
      <c r="AJ43" s="60">
        <f t="shared" si="14"/>
        <v>150833.33333333334</v>
      </c>
      <c r="AK43" s="60">
        <f t="shared" si="15"/>
        <v>-120103.87362972036</v>
      </c>
      <c r="AL43" s="62">
        <f t="shared" si="17"/>
        <v>2190887.3079382177</v>
      </c>
    </row>
    <row r="44" spans="1:38" x14ac:dyDescent="0.25">
      <c r="A44" s="2">
        <v>37</v>
      </c>
      <c r="B44" s="36">
        <f t="shared" si="2"/>
        <v>4</v>
      </c>
      <c r="C44" s="11">
        <f>C43*(1+VLOOKUP(C$6,Data!$A$3:$G$8,6,0))^(1/12)</f>
        <v>4822.9539464832133</v>
      </c>
      <c r="D44" s="59">
        <f>C44*VLOOKUP(C$6,Data!$A$4:$G$8,3,FALSE)</f>
        <v>2411.4769732416066</v>
      </c>
      <c r="E44" s="37">
        <f>VLOOKUP(C$6,Data!$A$3:$G$8,5,FALSE)+IF($B44=refund_inc_year,refund_inc,0)</f>
        <v>7.0000000000000007E-2</v>
      </c>
      <c r="F44" s="58">
        <f t="shared" si="3"/>
        <v>337.60677625382493</v>
      </c>
      <c r="G44" s="75">
        <f>F44*VLOOKUP(C$6,Data!$A$4:$G$8,2,FALSE)</f>
        <v>1688.0338812691248</v>
      </c>
      <c r="H44" s="75">
        <f t="shared" si="4"/>
        <v>723.44309197248185</v>
      </c>
      <c r="I44" s="11">
        <f>I43*(1+VLOOKUP(I$6,Data!$A$3:$G$8,6,0))^(1/12)</f>
        <v>9318.9572120848006</v>
      </c>
      <c r="J44" s="59">
        <f>I44*VLOOKUP(I$6,Data!$A$4:$G$8,3,FALSE)</f>
        <v>2795.68716362544</v>
      </c>
      <c r="K44" s="37">
        <f>VLOOKUP(I$6,Data!$A$3:$G$8,5,FALSE)+IF($B44=refund_inc_year,refund_inc,0)</f>
        <v>0.06</v>
      </c>
      <c r="L44" s="58">
        <f t="shared" si="5"/>
        <v>559.13743272508805</v>
      </c>
      <c r="M44" s="75">
        <f>L44*VLOOKUP(I$6,Data!$A$4:$G$8,2,FALSE)</f>
        <v>3354.8245963505283</v>
      </c>
      <c r="N44" s="75">
        <f t="shared" si="6"/>
        <v>-559.13743272508827</v>
      </c>
      <c r="O44" s="11">
        <f>O43*(1+VLOOKUP(O$6,Data!$A$3:$G$8,6,0))^(1/12)</f>
        <v>8896.5947853329999</v>
      </c>
      <c r="P44" s="59">
        <f>O44*VLOOKUP(O$6,Data!$A$4:$G$8,3,FALSE)</f>
        <v>8896.5947853329999</v>
      </c>
      <c r="Q44" s="37">
        <f>VLOOKUP(O$6,Data!$A$3:$G$8,5,FALSE)+IF($B44=refund_inc_year,refund_inc,0)</f>
        <v>0.05</v>
      </c>
      <c r="R44" s="58">
        <f t="shared" si="7"/>
        <v>444.82973926664999</v>
      </c>
      <c r="S44" s="75">
        <f>R44*VLOOKUP(O$6,Data!$A$4:$G$8,2,FALSE)</f>
        <v>3336.223044499875</v>
      </c>
      <c r="T44" s="75">
        <f t="shared" si="8"/>
        <v>5560.3717408331249</v>
      </c>
      <c r="U44" s="11">
        <f>U43*(1+VLOOKUP(U$6,Data!$A$3:$G$8,6,0))^(1/12)</f>
        <v>11253.559208460834</v>
      </c>
      <c r="V44" s="59">
        <f>U44*VLOOKUP(U$6,Data!$A$4:$G$8,3,FALSE)</f>
        <v>28133.898021152087</v>
      </c>
      <c r="W44" s="37">
        <f>VLOOKUP(U$6,Data!$A$3:$G$8,5,FALSE)+IF($B44=refund_inc_year,refund_inc,0)</f>
        <v>7.0000000000000007E-2</v>
      </c>
      <c r="X44" s="58">
        <f t="shared" si="9"/>
        <v>787.74914459225852</v>
      </c>
      <c r="Y44" s="75">
        <f>X44*VLOOKUP(U$6,Data!$A$4:$G$8,2,FALSE)</f>
        <v>6695.8677290341975</v>
      </c>
      <c r="Z44" s="75">
        <f t="shared" si="10"/>
        <v>21438.030292117888</v>
      </c>
      <c r="AA44" s="11">
        <f>AA43*(1+VLOOKUP(AA$6,Data!$A$3:$G$8,6,0))^(1/12)</f>
        <v>10868.168476583596</v>
      </c>
      <c r="AB44" s="59">
        <f>AA44*VLOOKUP(AA$6,Data!$A$4:$G$8,3,FALSE)</f>
        <v>29887.46331060489</v>
      </c>
      <c r="AC44" s="37">
        <f>VLOOKUP(AA$6,Data!$A$3:$G$8,5,FALSE)+IF($B44=refund_inc_year,refund_inc,0)</f>
        <v>0.08</v>
      </c>
      <c r="AD44" s="58">
        <f t="shared" si="11"/>
        <v>869.45347812668774</v>
      </c>
      <c r="AE44" s="75">
        <f>AD44*VLOOKUP(AA$6,Data!$A$4:$G$8,2,FALSE)</f>
        <v>8694.534781266877</v>
      </c>
      <c r="AF44" s="75">
        <f t="shared" si="12"/>
        <v>21192.928529338013</v>
      </c>
      <c r="AG44" s="61">
        <f t="shared" si="13"/>
        <v>48355.636221536421</v>
      </c>
      <c r="AH44" s="60">
        <f>'Combined Admin'!D43</f>
        <v>17500</v>
      </c>
      <c r="AI44" s="60">
        <f t="shared" si="16"/>
        <v>0</v>
      </c>
      <c r="AJ44" s="60">
        <f t="shared" si="14"/>
        <v>17500</v>
      </c>
      <c r="AK44" s="60">
        <f t="shared" si="15"/>
        <v>30855.636221536421</v>
      </c>
      <c r="AL44" s="62">
        <f t="shared" si="17"/>
        <v>2324234.9179357733</v>
      </c>
    </row>
    <row r="45" spans="1:38" x14ac:dyDescent="0.25">
      <c r="A45" s="2">
        <v>38</v>
      </c>
      <c r="B45" s="36">
        <f t="shared" si="2"/>
        <v>4</v>
      </c>
      <c r="C45" s="11">
        <f>C44*(1+VLOOKUP(C$6,Data!$A$3:$G$8,6,0))^(1/12)</f>
        <v>4830.9194470412476</v>
      </c>
      <c r="D45" s="59">
        <f>C45*VLOOKUP(C$6,Data!$A$4:$G$8,3,FALSE)</f>
        <v>2415.4597235206238</v>
      </c>
      <c r="E45" s="37">
        <f>VLOOKUP(C$6,Data!$A$3:$G$8,5,FALSE)+IF($B45=refund_inc_year,refund_inc,0)</f>
        <v>7.0000000000000007E-2</v>
      </c>
      <c r="F45" s="58">
        <f t="shared" si="3"/>
        <v>338.16436129288735</v>
      </c>
      <c r="G45" s="75">
        <f>F45*VLOOKUP(C$6,Data!$A$4:$G$8,2,FALSE)</f>
        <v>1690.8218064644368</v>
      </c>
      <c r="H45" s="75">
        <f t="shared" si="4"/>
        <v>724.63791705618701</v>
      </c>
      <c r="I45" s="11">
        <f>I44*(1+VLOOKUP(I$6,Data!$A$3:$G$8,6,0))^(1/12)</f>
        <v>9326.6876422781861</v>
      </c>
      <c r="J45" s="59">
        <f>I45*VLOOKUP(I$6,Data!$A$4:$G$8,3,FALSE)</f>
        <v>2798.0062926834557</v>
      </c>
      <c r="K45" s="37">
        <f>VLOOKUP(I$6,Data!$A$3:$G$8,5,FALSE)+IF($B45=refund_inc_year,refund_inc,0)</f>
        <v>0.06</v>
      </c>
      <c r="L45" s="58">
        <f t="shared" si="5"/>
        <v>559.60125853669115</v>
      </c>
      <c r="M45" s="75">
        <f>L45*VLOOKUP(I$6,Data!$A$4:$G$8,2,FALSE)</f>
        <v>3357.6075512201469</v>
      </c>
      <c r="N45" s="75">
        <f t="shared" si="6"/>
        <v>-559.60125853669115</v>
      </c>
      <c r="O45" s="11">
        <f>O44*(1+VLOOKUP(O$6,Data!$A$3:$G$8,6,0))^(1/12)</f>
        <v>8932.8406137414077</v>
      </c>
      <c r="P45" s="59">
        <f>O45*VLOOKUP(O$6,Data!$A$4:$G$8,3,FALSE)</f>
        <v>8932.8406137414077</v>
      </c>
      <c r="Q45" s="37">
        <f>VLOOKUP(O$6,Data!$A$3:$G$8,5,FALSE)+IF($B45=refund_inc_year,refund_inc,0)</f>
        <v>0.05</v>
      </c>
      <c r="R45" s="58">
        <f t="shared" si="7"/>
        <v>446.64203068707042</v>
      </c>
      <c r="S45" s="75">
        <f>R45*VLOOKUP(O$6,Data!$A$4:$G$8,2,FALSE)</f>
        <v>3349.8152301530281</v>
      </c>
      <c r="T45" s="75">
        <f t="shared" si="8"/>
        <v>5583.0253835883796</v>
      </c>
      <c r="U45" s="11">
        <f>U44*(1+VLOOKUP(U$6,Data!$A$3:$G$8,6,0))^(1/12)</f>
        <v>11272.14537642958</v>
      </c>
      <c r="V45" s="59">
        <f>U45*VLOOKUP(U$6,Data!$A$4:$G$8,3,FALSE)</f>
        <v>28180.363441073951</v>
      </c>
      <c r="W45" s="37">
        <f>VLOOKUP(U$6,Data!$A$3:$G$8,5,FALSE)+IF($B45=refund_inc_year,refund_inc,0)</f>
        <v>7.0000000000000007E-2</v>
      </c>
      <c r="X45" s="58">
        <f t="shared" si="9"/>
        <v>789.05017635007073</v>
      </c>
      <c r="Y45" s="75">
        <f>X45*VLOOKUP(U$6,Data!$A$4:$G$8,2,FALSE)</f>
        <v>6706.9264989756011</v>
      </c>
      <c r="Z45" s="75">
        <f t="shared" si="10"/>
        <v>21473.436942098349</v>
      </c>
      <c r="AA45" s="11">
        <f>AA44*(1+VLOOKUP(AA$6,Data!$A$3:$G$8,6,0))^(1/12)</f>
        <v>10894.972311977697</v>
      </c>
      <c r="AB45" s="59">
        <f>AA45*VLOOKUP(AA$6,Data!$A$4:$G$8,3,FALSE)</f>
        <v>29961.173857938666</v>
      </c>
      <c r="AC45" s="37">
        <f>VLOOKUP(AA$6,Data!$A$3:$G$8,5,FALSE)+IF($B45=refund_inc_year,refund_inc,0)</f>
        <v>0.08</v>
      </c>
      <c r="AD45" s="58">
        <f t="shared" si="11"/>
        <v>871.59778495821581</v>
      </c>
      <c r="AE45" s="75">
        <f>AD45*VLOOKUP(AA$6,Data!$A$4:$G$8,2,FALSE)</f>
        <v>8715.9778495821574</v>
      </c>
      <c r="AF45" s="75">
        <f t="shared" si="12"/>
        <v>21245.196008356506</v>
      </c>
      <c r="AG45" s="61">
        <f t="shared" si="13"/>
        <v>48466.694992562727</v>
      </c>
      <c r="AH45" s="60">
        <f>'Combined Admin'!D44</f>
        <v>17500</v>
      </c>
      <c r="AI45" s="60">
        <f t="shared" si="16"/>
        <v>0</v>
      </c>
      <c r="AJ45" s="60">
        <f t="shared" si="14"/>
        <v>17500</v>
      </c>
      <c r="AK45" s="60">
        <f t="shared" si="15"/>
        <v>30966.694992562727</v>
      </c>
      <c r="AL45" s="62">
        <f t="shared" si="17"/>
        <v>2307429.0935865897</v>
      </c>
    </row>
    <row r="46" spans="1:38" x14ac:dyDescent="0.25">
      <c r="A46" s="2">
        <v>39</v>
      </c>
      <c r="B46" s="36">
        <f t="shared" si="2"/>
        <v>4</v>
      </c>
      <c r="C46" s="11">
        <f>C45*(1+VLOOKUP(C$6,Data!$A$3:$G$8,6,0))^(1/12)</f>
        <v>4838.8981032710635</v>
      </c>
      <c r="D46" s="59">
        <f>C46*VLOOKUP(C$6,Data!$A$4:$G$8,3,FALSE)</f>
        <v>2419.4490516355318</v>
      </c>
      <c r="E46" s="37">
        <f>VLOOKUP(C$6,Data!$A$3:$G$8,5,FALSE)+IF($B46=refund_inc_year,refund_inc,0)</f>
        <v>7.0000000000000007E-2</v>
      </c>
      <c r="F46" s="58">
        <f t="shared" si="3"/>
        <v>338.72286722897445</v>
      </c>
      <c r="G46" s="75">
        <f>F46*VLOOKUP(C$6,Data!$A$4:$G$8,2,FALSE)</f>
        <v>1693.6143361448721</v>
      </c>
      <c r="H46" s="75">
        <f t="shared" si="4"/>
        <v>725.83471549065962</v>
      </c>
      <c r="I46" s="11">
        <f>I45*(1+VLOOKUP(I$6,Data!$A$3:$G$8,6,0))^(1/12)</f>
        <v>9334.424485158057</v>
      </c>
      <c r="J46" s="59">
        <f>I46*VLOOKUP(I$6,Data!$A$4:$G$8,3,FALSE)</f>
        <v>2800.3273455474168</v>
      </c>
      <c r="K46" s="37">
        <f>VLOOKUP(I$6,Data!$A$3:$G$8,5,FALSE)+IF($B46=refund_inc_year,refund_inc,0)</f>
        <v>0.06</v>
      </c>
      <c r="L46" s="58">
        <f t="shared" si="5"/>
        <v>560.06546910948339</v>
      </c>
      <c r="M46" s="75">
        <f>L46*VLOOKUP(I$6,Data!$A$4:$G$8,2,FALSE)</f>
        <v>3360.3928146569006</v>
      </c>
      <c r="N46" s="75">
        <f t="shared" si="6"/>
        <v>-560.06546910948373</v>
      </c>
      <c r="O46" s="11">
        <f>O45*(1+VLOOKUP(O$6,Data!$A$3:$G$8,6,0))^(1/12)</f>
        <v>8969.234112141392</v>
      </c>
      <c r="P46" s="59">
        <f>O46*VLOOKUP(O$6,Data!$A$4:$G$8,3,FALSE)</f>
        <v>8969.234112141392</v>
      </c>
      <c r="Q46" s="37">
        <f>VLOOKUP(O$6,Data!$A$3:$G$8,5,FALSE)+IF($B46=refund_inc_year,refund_inc,0)</f>
        <v>0.05</v>
      </c>
      <c r="R46" s="58">
        <f t="shared" si="7"/>
        <v>448.46170560706963</v>
      </c>
      <c r="S46" s="75">
        <f>R46*VLOOKUP(O$6,Data!$A$4:$G$8,2,FALSE)</f>
        <v>3363.4627920530224</v>
      </c>
      <c r="T46" s="75">
        <f t="shared" si="8"/>
        <v>5605.77132008837</v>
      </c>
      <c r="U46" s="11">
        <f>U45*(1+VLOOKUP(U$6,Data!$A$3:$G$8,6,0))^(1/12)</f>
        <v>11290.762240965818</v>
      </c>
      <c r="V46" s="59">
        <f>U46*VLOOKUP(U$6,Data!$A$4:$G$8,3,FALSE)</f>
        <v>28226.905602414547</v>
      </c>
      <c r="W46" s="37">
        <f>VLOOKUP(U$6,Data!$A$3:$G$8,5,FALSE)+IF($B46=refund_inc_year,refund_inc,0)</f>
        <v>7.0000000000000007E-2</v>
      </c>
      <c r="X46" s="58">
        <f t="shared" si="9"/>
        <v>790.35335686760732</v>
      </c>
      <c r="Y46" s="75">
        <f>X46*VLOOKUP(U$6,Data!$A$4:$G$8,2,FALSE)</f>
        <v>6718.0035333746619</v>
      </c>
      <c r="Z46" s="75">
        <f t="shared" si="10"/>
        <v>21508.902069039883</v>
      </c>
      <c r="AA46" s="11">
        <f>AA45*(1+VLOOKUP(AA$6,Data!$A$3:$G$8,6,0))^(1/12)</f>
        <v>10921.842252860813</v>
      </c>
      <c r="AB46" s="59">
        <f>AA46*VLOOKUP(AA$6,Data!$A$4:$G$8,3,FALSE)</f>
        <v>30035.066195367239</v>
      </c>
      <c r="AC46" s="37">
        <f>VLOOKUP(AA$6,Data!$A$3:$G$8,5,FALSE)+IF($B46=refund_inc_year,refund_inc,0)</f>
        <v>0.08</v>
      </c>
      <c r="AD46" s="58">
        <f t="shared" si="11"/>
        <v>873.74738022886504</v>
      </c>
      <c r="AE46" s="75">
        <f>AD46*VLOOKUP(AA$6,Data!$A$4:$G$8,2,FALSE)</f>
        <v>8737.4738022886504</v>
      </c>
      <c r="AF46" s="75">
        <f t="shared" si="12"/>
        <v>21297.592393078587</v>
      </c>
      <c r="AG46" s="61">
        <f t="shared" si="13"/>
        <v>48578.035028588012</v>
      </c>
      <c r="AH46" s="60">
        <f>'Combined Admin'!D45</f>
        <v>17500</v>
      </c>
      <c r="AI46" s="60">
        <f t="shared" si="16"/>
        <v>0</v>
      </c>
      <c r="AJ46" s="60">
        <f t="shared" si="14"/>
        <v>17500</v>
      </c>
      <c r="AK46" s="60">
        <f t="shared" si="15"/>
        <v>31078.035028588012</v>
      </c>
      <c r="AL46" s="62">
        <f t="shared" si="17"/>
        <v>2290410.6206190526</v>
      </c>
    </row>
    <row r="47" spans="1:38" x14ac:dyDescent="0.25">
      <c r="A47" s="2">
        <v>40</v>
      </c>
      <c r="B47" s="36">
        <f t="shared" si="2"/>
        <v>4</v>
      </c>
      <c r="C47" s="11">
        <f>C46*(1+VLOOKUP(C$6,Data!$A$3:$G$8,6,0))^(1/12)</f>
        <v>4846.8899369003229</v>
      </c>
      <c r="D47" s="59">
        <f>C47*VLOOKUP(C$6,Data!$A$4:$G$8,3,FALSE)</f>
        <v>2423.4449684501615</v>
      </c>
      <c r="E47" s="37">
        <f>VLOOKUP(C$6,Data!$A$3:$G$8,5,FALSE)+IF($B47=refund_inc_year,refund_inc,0)</f>
        <v>7.0000000000000007E-2</v>
      </c>
      <c r="F47" s="58">
        <f t="shared" si="3"/>
        <v>339.28229558302263</v>
      </c>
      <c r="G47" s="75">
        <f>F47*VLOOKUP(C$6,Data!$A$4:$G$8,2,FALSE)</f>
        <v>1696.4114779151132</v>
      </c>
      <c r="H47" s="75">
        <f t="shared" si="4"/>
        <v>727.03349053504826</v>
      </c>
      <c r="I47" s="11">
        <f>I46*(1+VLOOKUP(I$6,Data!$A$3:$G$8,6,0))^(1/12)</f>
        <v>9342.1677460439823</v>
      </c>
      <c r="J47" s="59">
        <f>I47*VLOOKUP(I$6,Data!$A$4:$G$8,3,FALSE)</f>
        <v>2802.6503238131945</v>
      </c>
      <c r="K47" s="37">
        <f>VLOOKUP(I$6,Data!$A$3:$G$8,5,FALSE)+IF($B47=refund_inc_year,refund_inc,0)</f>
        <v>0.06</v>
      </c>
      <c r="L47" s="58">
        <f t="shared" si="5"/>
        <v>560.53006476263897</v>
      </c>
      <c r="M47" s="75">
        <f>L47*VLOOKUP(I$6,Data!$A$4:$G$8,2,FALSE)</f>
        <v>3363.1803885758336</v>
      </c>
      <c r="N47" s="75">
        <f t="shared" si="6"/>
        <v>-560.53006476263909</v>
      </c>
      <c r="O47" s="11">
        <f>O46*(1+VLOOKUP(O$6,Data!$A$3:$G$8,6,0))^(1/12)</f>
        <v>9005.7758821587777</v>
      </c>
      <c r="P47" s="59">
        <f>O47*VLOOKUP(O$6,Data!$A$4:$G$8,3,FALSE)</f>
        <v>9005.7758821587777</v>
      </c>
      <c r="Q47" s="37">
        <f>VLOOKUP(O$6,Data!$A$3:$G$8,5,FALSE)+IF($B47=refund_inc_year,refund_inc,0)</f>
        <v>0.05</v>
      </c>
      <c r="R47" s="58">
        <f t="shared" si="7"/>
        <v>450.28879410793888</v>
      </c>
      <c r="S47" s="75">
        <f>R47*VLOOKUP(O$6,Data!$A$4:$G$8,2,FALSE)</f>
        <v>3377.1659558095416</v>
      </c>
      <c r="T47" s="75">
        <f t="shared" si="8"/>
        <v>5628.609926349236</v>
      </c>
      <c r="U47" s="11">
        <f>U46*(1+VLOOKUP(U$6,Data!$A$3:$G$8,6,0))^(1/12)</f>
        <v>11309.409852767423</v>
      </c>
      <c r="V47" s="59">
        <f>U47*VLOOKUP(U$6,Data!$A$4:$G$8,3,FALSE)</f>
        <v>28273.524631918557</v>
      </c>
      <c r="W47" s="37">
        <f>VLOOKUP(U$6,Data!$A$3:$G$8,5,FALSE)+IF($B47=refund_inc_year,refund_inc,0)</f>
        <v>7.0000000000000007E-2</v>
      </c>
      <c r="X47" s="58">
        <f t="shared" si="9"/>
        <v>791.65868969371968</v>
      </c>
      <c r="Y47" s="75">
        <f>X47*VLOOKUP(U$6,Data!$A$4:$G$8,2,FALSE)</f>
        <v>6729.0988623966168</v>
      </c>
      <c r="Z47" s="75">
        <f t="shared" si="10"/>
        <v>21544.425769521942</v>
      </c>
      <c r="AA47" s="11">
        <f>AA46*(1+VLOOKUP(AA$6,Data!$A$3:$G$8,6,0))^(1/12)</f>
        <v>10948.778462266913</v>
      </c>
      <c r="AB47" s="59">
        <f>AA47*VLOOKUP(AA$6,Data!$A$4:$G$8,3,FALSE)</f>
        <v>30109.140771234011</v>
      </c>
      <c r="AC47" s="37">
        <f>VLOOKUP(AA$6,Data!$A$3:$G$8,5,FALSE)+IF($B47=refund_inc_year,refund_inc,0)</f>
        <v>0.08</v>
      </c>
      <c r="AD47" s="58">
        <f t="shared" si="11"/>
        <v>875.90227698135311</v>
      </c>
      <c r="AE47" s="75">
        <f>AD47*VLOOKUP(AA$6,Data!$A$4:$G$8,2,FALSE)</f>
        <v>8759.0227698135313</v>
      </c>
      <c r="AF47" s="75">
        <f t="shared" si="12"/>
        <v>21350.11800142048</v>
      </c>
      <c r="AG47" s="61">
        <f t="shared" si="13"/>
        <v>48689.657123064069</v>
      </c>
      <c r="AH47" s="60">
        <f>'Combined Admin'!D46</f>
        <v>17500</v>
      </c>
      <c r="AI47" s="60">
        <f t="shared" si="16"/>
        <v>0</v>
      </c>
      <c r="AJ47" s="60">
        <f t="shared" si="14"/>
        <v>17500</v>
      </c>
      <c r="AK47" s="60">
        <f t="shared" si="15"/>
        <v>31189.657123064069</v>
      </c>
      <c r="AL47" s="62">
        <f t="shared" si="17"/>
        <v>2273177.9323244845</v>
      </c>
    </row>
    <row r="48" spans="1:38" x14ac:dyDescent="0.25">
      <c r="A48" s="2">
        <v>41</v>
      </c>
      <c r="B48" s="36">
        <f t="shared" si="2"/>
        <v>4</v>
      </c>
      <c r="C48" s="11">
        <f>C47*(1+VLOOKUP(C$6,Data!$A$3:$G$8,6,0))^(1/12)</f>
        <v>4854.8949696925729</v>
      </c>
      <c r="D48" s="59">
        <f>C48*VLOOKUP(C$6,Data!$A$4:$G$8,3,FALSE)</f>
        <v>2427.4474848462864</v>
      </c>
      <c r="E48" s="37">
        <f>VLOOKUP(C$6,Data!$A$3:$G$8,5,FALSE)+IF($B48=refund_inc_year,refund_inc,0)</f>
        <v>7.0000000000000007E-2</v>
      </c>
      <c r="F48" s="58">
        <f t="shared" si="3"/>
        <v>339.84264787848014</v>
      </c>
      <c r="G48" s="75">
        <f>F48*VLOOKUP(C$6,Data!$A$4:$G$8,2,FALSE)</f>
        <v>1699.2132393924007</v>
      </c>
      <c r="H48" s="75">
        <f t="shared" si="4"/>
        <v>728.23424545388571</v>
      </c>
      <c r="I48" s="11">
        <f>I47*(1+VLOOKUP(I$6,Data!$A$3:$G$8,6,0))^(1/12)</f>
        <v>9349.9174302599404</v>
      </c>
      <c r="J48" s="59">
        <f>I48*VLOOKUP(I$6,Data!$A$4:$G$8,3,FALSE)</f>
        <v>2804.975229077982</v>
      </c>
      <c r="K48" s="37">
        <f>VLOOKUP(I$6,Data!$A$3:$G$8,5,FALSE)+IF($B48=refund_inc_year,refund_inc,0)</f>
        <v>0.06</v>
      </c>
      <c r="L48" s="58">
        <f t="shared" si="5"/>
        <v>560.99504581559643</v>
      </c>
      <c r="M48" s="75">
        <f>L48*VLOOKUP(I$6,Data!$A$4:$G$8,2,FALSE)</f>
        <v>3365.9702748935788</v>
      </c>
      <c r="N48" s="75">
        <f t="shared" si="6"/>
        <v>-560.99504581559677</v>
      </c>
      <c r="O48" s="11">
        <f>O47*(1+VLOOKUP(O$6,Data!$A$3:$G$8,6,0))^(1/12)</f>
        <v>9042.466527870487</v>
      </c>
      <c r="P48" s="59">
        <f>O48*VLOOKUP(O$6,Data!$A$4:$G$8,3,FALSE)</f>
        <v>9042.466527870487</v>
      </c>
      <c r="Q48" s="37">
        <f>VLOOKUP(O$6,Data!$A$3:$G$8,5,FALSE)+IF($B48=refund_inc_year,refund_inc,0)</f>
        <v>0.05</v>
      </c>
      <c r="R48" s="58">
        <f t="shared" si="7"/>
        <v>452.12332639352439</v>
      </c>
      <c r="S48" s="75">
        <f>R48*VLOOKUP(O$6,Data!$A$4:$G$8,2,FALSE)</f>
        <v>3390.9249479514328</v>
      </c>
      <c r="T48" s="75">
        <f t="shared" si="8"/>
        <v>5651.5415799190541</v>
      </c>
      <c r="U48" s="11">
        <f>U47*(1+VLOOKUP(U$6,Data!$A$3:$G$8,6,0))^(1/12)</f>
        <v>11328.088262616006</v>
      </c>
      <c r="V48" s="59">
        <f>U48*VLOOKUP(U$6,Data!$A$4:$G$8,3,FALSE)</f>
        <v>28320.220656540012</v>
      </c>
      <c r="W48" s="37">
        <f>VLOOKUP(U$6,Data!$A$3:$G$8,5,FALSE)+IF($B48=refund_inc_year,refund_inc,0)</f>
        <v>7.0000000000000007E-2</v>
      </c>
      <c r="X48" s="58">
        <f t="shared" si="9"/>
        <v>792.96617838312045</v>
      </c>
      <c r="Y48" s="75">
        <f>X48*VLOOKUP(U$6,Data!$A$4:$G$8,2,FALSE)</f>
        <v>6740.2125162565235</v>
      </c>
      <c r="Z48" s="75">
        <f t="shared" si="10"/>
        <v>21580.008140283488</v>
      </c>
      <c r="AA48" s="11">
        <f>AA47*(1+VLOOKUP(AA$6,Data!$A$3:$G$8,6,0))^(1/12)</f>
        <v>10975.781103632053</v>
      </c>
      <c r="AB48" s="59">
        <f>AA48*VLOOKUP(AA$6,Data!$A$4:$G$8,3,FALSE)</f>
        <v>30183.398034988146</v>
      </c>
      <c r="AC48" s="37">
        <f>VLOOKUP(AA$6,Data!$A$3:$G$8,5,FALSE)+IF($B48=refund_inc_year,refund_inc,0)</f>
        <v>0.08</v>
      </c>
      <c r="AD48" s="58">
        <f t="shared" si="11"/>
        <v>878.06248829056426</v>
      </c>
      <c r="AE48" s="75">
        <f>AD48*VLOOKUP(AA$6,Data!$A$4:$G$8,2,FALSE)</f>
        <v>8780.6248829056422</v>
      </c>
      <c r="AF48" s="75">
        <f t="shared" si="12"/>
        <v>21402.773152082504</v>
      </c>
      <c r="AG48" s="61">
        <f t="shared" si="13"/>
        <v>48801.562071923334</v>
      </c>
      <c r="AH48" s="60">
        <f>'Combined Admin'!D47</f>
        <v>17500</v>
      </c>
      <c r="AI48" s="60">
        <f t="shared" si="16"/>
        <v>0</v>
      </c>
      <c r="AJ48" s="60">
        <f t="shared" si="14"/>
        <v>17500</v>
      </c>
      <c r="AK48" s="60">
        <f t="shared" si="15"/>
        <v>31301.562071923334</v>
      </c>
      <c r="AL48" s="62">
        <f t="shared" si="17"/>
        <v>2255729.4517301288</v>
      </c>
    </row>
    <row r="49" spans="1:38" x14ac:dyDescent="0.25">
      <c r="A49" s="2">
        <v>42</v>
      </c>
      <c r="B49" s="36">
        <f t="shared" si="2"/>
        <v>4</v>
      </c>
      <c r="C49" s="11">
        <f>C48*(1+VLOOKUP(C$6,Data!$A$3:$G$8,6,0))^(1/12)</f>
        <v>4862.9132234473036</v>
      </c>
      <c r="D49" s="59">
        <f>C49*VLOOKUP(C$6,Data!$A$4:$G$8,3,FALSE)</f>
        <v>2431.4566117236518</v>
      </c>
      <c r="E49" s="37">
        <f>VLOOKUP(C$6,Data!$A$3:$G$8,5,FALSE)+IF($B49=refund_inc_year,refund_inc,0)</f>
        <v>7.0000000000000007E-2</v>
      </c>
      <c r="F49" s="58">
        <f t="shared" si="3"/>
        <v>340.40392564131128</v>
      </c>
      <c r="G49" s="75">
        <f>F49*VLOOKUP(C$6,Data!$A$4:$G$8,2,FALSE)</f>
        <v>1702.0196282065563</v>
      </c>
      <c r="H49" s="75">
        <f t="shared" si="4"/>
        <v>729.43698351709554</v>
      </c>
      <c r="I49" s="11">
        <f>I48*(1+VLOOKUP(I$6,Data!$A$3:$G$8,6,0))^(1/12)</f>
        <v>9357.6735431343313</v>
      </c>
      <c r="J49" s="59">
        <f>I49*VLOOKUP(I$6,Data!$A$4:$G$8,3,FALSE)</f>
        <v>2807.3020629402995</v>
      </c>
      <c r="K49" s="37">
        <f>VLOOKUP(I$6,Data!$A$3:$G$8,5,FALSE)+IF($B49=refund_inc_year,refund_inc,0)</f>
        <v>0.06</v>
      </c>
      <c r="L49" s="58">
        <f t="shared" si="5"/>
        <v>561.46041258805985</v>
      </c>
      <c r="M49" s="75">
        <f>L49*VLOOKUP(I$6,Data!$A$4:$G$8,2,FALSE)</f>
        <v>3368.7624755283591</v>
      </c>
      <c r="N49" s="75">
        <f t="shared" si="6"/>
        <v>-561.46041258805963</v>
      </c>
      <c r="O49" s="11">
        <f>O48*(1+VLOOKUP(O$6,Data!$A$3:$G$8,6,0))^(1/12)</f>
        <v>9079.3066558145274</v>
      </c>
      <c r="P49" s="59">
        <f>O49*VLOOKUP(O$6,Data!$A$4:$G$8,3,FALSE)</f>
        <v>9079.3066558145274</v>
      </c>
      <c r="Q49" s="37">
        <f>VLOOKUP(O$6,Data!$A$3:$G$8,5,FALSE)+IF($B49=refund_inc_year,refund_inc,0)</f>
        <v>0.05</v>
      </c>
      <c r="R49" s="58">
        <f t="shared" si="7"/>
        <v>453.96533279072639</v>
      </c>
      <c r="S49" s="75">
        <f>R49*VLOOKUP(O$6,Data!$A$4:$G$8,2,FALSE)</f>
        <v>3404.739995930448</v>
      </c>
      <c r="T49" s="75">
        <f t="shared" si="8"/>
        <v>5674.5666598840799</v>
      </c>
      <c r="U49" s="11">
        <f>U48*(1+VLOOKUP(U$6,Data!$A$3:$G$8,6,0))^(1/12)</f>
        <v>11346.797521377044</v>
      </c>
      <c r="V49" s="59">
        <f>U49*VLOOKUP(U$6,Data!$A$4:$G$8,3,FALSE)</f>
        <v>28366.993803442609</v>
      </c>
      <c r="W49" s="37">
        <f>VLOOKUP(U$6,Data!$A$3:$G$8,5,FALSE)+IF($B49=refund_inc_year,refund_inc,0)</f>
        <v>7.0000000000000007E-2</v>
      </c>
      <c r="X49" s="58">
        <f t="shared" si="9"/>
        <v>794.27582649639317</v>
      </c>
      <c r="Y49" s="75">
        <f>X49*VLOOKUP(U$6,Data!$A$4:$G$8,2,FALSE)</f>
        <v>6751.3445252193414</v>
      </c>
      <c r="Z49" s="75">
        <f t="shared" si="10"/>
        <v>21615.649278223267</v>
      </c>
      <c r="AA49" s="11">
        <f>AA48*(1+VLOOKUP(AA$6,Data!$A$3:$G$8,6,0))^(1/12)</f>
        <v>11002.850340795363</v>
      </c>
      <c r="AB49" s="59">
        <f>AA49*VLOOKUP(AA$6,Data!$A$4:$G$8,3,FALSE)</f>
        <v>30257.838437187249</v>
      </c>
      <c r="AC49" s="37">
        <f>VLOOKUP(AA$6,Data!$A$3:$G$8,5,FALSE)+IF($B49=refund_inc_year,refund_inc,0)</f>
        <v>0.08</v>
      </c>
      <c r="AD49" s="58">
        <f t="shared" si="11"/>
        <v>880.22802726362909</v>
      </c>
      <c r="AE49" s="75">
        <f>AD49*VLOOKUP(AA$6,Data!$A$4:$G$8,2,FALSE)</f>
        <v>8802.2802726362916</v>
      </c>
      <c r="AF49" s="75">
        <f t="shared" si="12"/>
        <v>21455.558164550959</v>
      </c>
      <c r="AG49" s="61">
        <f t="shared" si="13"/>
        <v>48913.750673587347</v>
      </c>
      <c r="AH49" s="60">
        <f>'Combined Admin'!D48</f>
        <v>17500</v>
      </c>
      <c r="AI49" s="60">
        <f t="shared" si="16"/>
        <v>0</v>
      </c>
      <c r="AJ49" s="60">
        <f t="shared" si="14"/>
        <v>17500</v>
      </c>
      <c r="AK49" s="60">
        <f t="shared" si="15"/>
        <v>31413.750673587347</v>
      </c>
      <c r="AL49" s="62">
        <f t="shared" si="17"/>
        <v>2238063.5915346243</v>
      </c>
    </row>
    <row r="50" spans="1:38" x14ac:dyDescent="0.25">
      <c r="A50" s="2">
        <v>43</v>
      </c>
      <c r="B50" s="36">
        <f t="shared" si="2"/>
        <v>4</v>
      </c>
      <c r="C50" s="11">
        <f>C49*(1+VLOOKUP(C$6,Data!$A$3:$G$8,6,0))^(1/12)</f>
        <v>4870.9447200000095</v>
      </c>
      <c r="D50" s="59">
        <f>C50*VLOOKUP(C$6,Data!$A$4:$G$8,3,FALSE)</f>
        <v>2435.4723600000048</v>
      </c>
      <c r="E50" s="37">
        <f>VLOOKUP(C$6,Data!$A$3:$G$8,5,FALSE)+IF($B50=refund_inc_year,refund_inc,0)</f>
        <v>7.0000000000000007E-2</v>
      </c>
      <c r="F50" s="58">
        <f t="shared" si="3"/>
        <v>340.96613040000068</v>
      </c>
      <c r="G50" s="75">
        <f>F50*VLOOKUP(C$6,Data!$A$4:$G$8,2,FALSE)</f>
        <v>1704.8306520000033</v>
      </c>
      <c r="H50" s="75">
        <f t="shared" si="4"/>
        <v>730.64170800000147</v>
      </c>
      <c r="I50" s="11">
        <f>I49*(1+VLOOKUP(I$6,Data!$A$3:$G$8,6,0))^(1/12)</f>
        <v>9365.4360899999701</v>
      </c>
      <c r="J50" s="59">
        <f>I50*VLOOKUP(I$6,Data!$A$4:$G$8,3,FALSE)</f>
        <v>2809.6308269999909</v>
      </c>
      <c r="K50" s="37">
        <f>VLOOKUP(I$6,Data!$A$3:$G$8,5,FALSE)+IF($B50=refund_inc_year,refund_inc,0)</f>
        <v>0.06</v>
      </c>
      <c r="L50" s="58">
        <f t="shared" si="5"/>
        <v>561.92616539999824</v>
      </c>
      <c r="M50" s="75">
        <f>L50*VLOOKUP(I$6,Data!$A$4:$G$8,2,FALSE)</f>
        <v>3371.5569923999892</v>
      </c>
      <c r="N50" s="75">
        <f t="shared" si="6"/>
        <v>-561.92616539999835</v>
      </c>
      <c r="O50" s="11">
        <f>O49*(1+VLOOKUP(O$6,Data!$A$3:$G$8,6,0))^(1/12)</f>
        <v>9116.2968750000182</v>
      </c>
      <c r="P50" s="59">
        <f>O50*VLOOKUP(O$6,Data!$A$4:$G$8,3,FALSE)</f>
        <v>9116.2968750000182</v>
      </c>
      <c r="Q50" s="37">
        <f>VLOOKUP(O$6,Data!$A$3:$G$8,5,FALSE)+IF($B50=refund_inc_year,refund_inc,0)</f>
        <v>0.05</v>
      </c>
      <c r="R50" s="58">
        <f t="shared" si="7"/>
        <v>455.81484375000093</v>
      </c>
      <c r="S50" s="75">
        <f>R50*VLOOKUP(O$6,Data!$A$4:$G$8,2,FALSE)</f>
        <v>3418.6113281250068</v>
      </c>
      <c r="T50" s="75">
        <f t="shared" si="8"/>
        <v>5697.6855468750109</v>
      </c>
      <c r="U50" s="11">
        <f>U49*(1+VLOOKUP(U$6,Data!$A$3:$G$8,6,0))^(1/12)</f>
        <v>11365.537680000025</v>
      </c>
      <c r="V50" s="59">
        <f>U50*VLOOKUP(U$6,Data!$A$4:$G$8,3,FALSE)</f>
        <v>28413.844200000061</v>
      </c>
      <c r="W50" s="37">
        <f>VLOOKUP(U$6,Data!$A$3:$G$8,5,FALSE)+IF($B50=refund_inc_year,refund_inc,0)</f>
        <v>7.0000000000000007E-2</v>
      </c>
      <c r="X50" s="58">
        <f t="shared" si="9"/>
        <v>795.58763760000181</v>
      </c>
      <c r="Y50" s="75">
        <f>X50*VLOOKUP(U$6,Data!$A$4:$G$8,2,FALSE)</f>
        <v>6762.4949196000152</v>
      </c>
      <c r="Z50" s="75">
        <f t="shared" si="10"/>
        <v>21651.349280400045</v>
      </c>
      <c r="AA50" s="11">
        <f>AA49*(1+VLOOKUP(AA$6,Data!$A$3:$G$8,6,0))^(1/12)</f>
        <v>11029.986338000048</v>
      </c>
      <c r="AB50" s="59">
        <f>AA50*VLOOKUP(AA$6,Data!$A$4:$G$8,3,FALSE)</f>
        <v>30332.46242950013</v>
      </c>
      <c r="AC50" s="37">
        <f>VLOOKUP(AA$6,Data!$A$3:$G$8,5,FALSE)+IF($B50=refund_inc_year,refund_inc,0)</f>
        <v>0.08</v>
      </c>
      <c r="AD50" s="58">
        <f t="shared" si="11"/>
        <v>882.39890704000391</v>
      </c>
      <c r="AE50" s="75">
        <f>AD50*VLOOKUP(AA$6,Data!$A$4:$G$8,2,FALSE)</f>
        <v>8823.9890704000391</v>
      </c>
      <c r="AF50" s="75">
        <f t="shared" si="12"/>
        <v>21508.473359100091</v>
      </c>
      <c r="AG50" s="61">
        <f t="shared" si="13"/>
        <v>49026.22372897515</v>
      </c>
      <c r="AH50" s="60">
        <f>'Combined Admin'!D49</f>
        <v>17500</v>
      </c>
      <c r="AI50" s="60">
        <f t="shared" si="16"/>
        <v>0</v>
      </c>
      <c r="AJ50" s="60">
        <f t="shared" si="14"/>
        <v>17500</v>
      </c>
      <c r="AK50" s="60">
        <f t="shared" si="15"/>
        <v>31526.22372897515</v>
      </c>
      <c r="AL50" s="62">
        <f t="shared" si="17"/>
        <v>2220178.754043079</v>
      </c>
    </row>
    <row r="51" spans="1:38" x14ac:dyDescent="0.25">
      <c r="A51" s="2">
        <v>44</v>
      </c>
      <c r="B51" s="36">
        <f t="shared" si="2"/>
        <v>4</v>
      </c>
      <c r="C51" s="11">
        <f>C50*(1+VLOOKUP(C$6,Data!$A$3:$G$8,6,0))^(1/12)</f>
        <v>4878.9894812222483</v>
      </c>
      <c r="D51" s="59">
        <f>C51*VLOOKUP(C$6,Data!$A$4:$G$8,3,FALSE)</f>
        <v>2439.4947406111241</v>
      </c>
      <c r="E51" s="37">
        <f>VLOOKUP(C$6,Data!$A$3:$G$8,5,FALSE)+IF($B51=refund_inc_year,refund_inc,0)</f>
        <v>7.0000000000000007E-2</v>
      </c>
      <c r="F51" s="58">
        <f t="shared" si="3"/>
        <v>341.5292636855574</v>
      </c>
      <c r="G51" s="75">
        <f>F51*VLOOKUP(C$6,Data!$A$4:$G$8,2,FALSE)</f>
        <v>1707.646318427787</v>
      </c>
      <c r="H51" s="75">
        <f t="shared" si="4"/>
        <v>731.84842218333711</v>
      </c>
      <c r="I51" s="11">
        <f>I50*(1+VLOOKUP(I$6,Data!$A$3:$G$8,6,0))^(1/12)</f>
        <v>9373.2050761940991</v>
      </c>
      <c r="J51" s="59">
        <f>I51*VLOOKUP(I$6,Data!$A$4:$G$8,3,FALSE)</f>
        <v>2811.9615228582297</v>
      </c>
      <c r="K51" s="37">
        <f>VLOOKUP(I$6,Data!$A$3:$G$8,5,FALSE)+IF($B51=refund_inc_year,refund_inc,0)</f>
        <v>0.06</v>
      </c>
      <c r="L51" s="58">
        <f t="shared" si="5"/>
        <v>562.39230457164592</v>
      </c>
      <c r="M51" s="75">
        <f>L51*VLOOKUP(I$6,Data!$A$4:$G$8,2,FALSE)</f>
        <v>3374.3538274298753</v>
      </c>
      <c r="N51" s="75">
        <f t="shared" si="6"/>
        <v>-562.39230457164558</v>
      </c>
      <c r="O51" s="11">
        <f>O50*(1+VLOOKUP(O$6,Data!$A$3:$G$8,6,0))^(1/12)</f>
        <v>9153.4377969172547</v>
      </c>
      <c r="P51" s="59">
        <f>O51*VLOOKUP(O$6,Data!$A$4:$G$8,3,FALSE)</f>
        <v>9153.4377969172547</v>
      </c>
      <c r="Q51" s="37">
        <f>VLOOKUP(O$6,Data!$A$3:$G$8,5,FALSE)+IF($B51=refund_inc_year,refund_inc,0)</f>
        <v>0.05</v>
      </c>
      <c r="R51" s="58">
        <f t="shared" si="7"/>
        <v>457.67188984586278</v>
      </c>
      <c r="S51" s="75">
        <f>R51*VLOOKUP(O$6,Data!$A$4:$G$8,2,FALSE)</f>
        <v>3432.5391738439707</v>
      </c>
      <c r="T51" s="75">
        <f t="shared" si="8"/>
        <v>5720.8986230732844</v>
      </c>
      <c r="U51" s="11">
        <f>U50*(1+VLOOKUP(U$6,Data!$A$3:$G$8,6,0))^(1/12)</f>
        <v>11384.308789518584</v>
      </c>
      <c r="V51" s="59">
        <f>U51*VLOOKUP(U$6,Data!$A$4:$G$8,3,FALSE)</f>
        <v>28460.771973796458</v>
      </c>
      <c r="W51" s="37">
        <f>VLOOKUP(U$6,Data!$A$3:$G$8,5,FALSE)+IF($B51=refund_inc_year,refund_inc,0)</f>
        <v>7.0000000000000007E-2</v>
      </c>
      <c r="X51" s="58">
        <f t="shared" si="9"/>
        <v>796.90161526630095</v>
      </c>
      <c r="Y51" s="75">
        <f>X51*VLOOKUP(U$6,Data!$A$4:$G$8,2,FALSE)</f>
        <v>6773.663729763558</v>
      </c>
      <c r="Z51" s="75">
        <f t="shared" si="10"/>
        <v>21687.108244032901</v>
      </c>
      <c r="AA51" s="11">
        <f>AA50*(1+VLOOKUP(AA$6,Data!$A$3:$G$8,6,0))^(1/12)</f>
        <v>11057.18925989438</v>
      </c>
      <c r="AB51" s="59">
        <f>AA51*VLOOKUP(AA$6,Data!$A$4:$G$8,3,FALSE)</f>
        <v>30407.270464709545</v>
      </c>
      <c r="AC51" s="37">
        <f>VLOOKUP(AA$6,Data!$A$3:$G$8,5,FALSE)+IF($B51=refund_inc_year,refund_inc,0)</f>
        <v>0.08</v>
      </c>
      <c r="AD51" s="58">
        <f t="shared" si="11"/>
        <v>884.57514079155044</v>
      </c>
      <c r="AE51" s="75">
        <f>AD51*VLOOKUP(AA$6,Data!$A$4:$G$8,2,FALSE)</f>
        <v>8845.7514079155044</v>
      </c>
      <c r="AF51" s="75">
        <f t="shared" si="12"/>
        <v>21561.519056794041</v>
      </c>
      <c r="AG51" s="61">
        <f t="shared" si="13"/>
        <v>49138.982041511917</v>
      </c>
      <c r="AH51" s="60">
        <f>'Combined Admin'!D50</f>
        <v>17500</v>
      </c>
      <c r="AI51" s="60">
        <f t="shared" si="16"/>
        <v>0</v>
      </c>
      <c r="AJ51" s="60">
        <f t="shared" si="14"/>
        <v>17500</v>
      </c>
      <c r="AK51" s="60">
        <f t="shared" si="15"/>
        <v>31638.982041511917</v>
      </c>
      <c r="AL51" s="62">
        <f t="shared" si="17"/>
        <v>2202073.3311017468</v>
      </c>
    </row>
    <row r="52" spans="1:38" x14ac:dyDescent="0.25">
      <c r="A52" s="2">
        <v>45</v>
      </c>
      <c r="B52" s="36">
        <f t="shared" si="2"/>
        <v>4</v>
      </c>
      <c r="C52" s="11">
        <f>C51*(1+VLOOKUP(C$6,Data!$A$3:$G$8,6,0))^(1/12)</f>
        <v>4887.0475290217</v>
      </c>
      <c r="D52" s="59">
        <f>C52*VLOOKUP(C$6,Data!$A$4:$G$8,3,FALSE)</f>
        <v>2443.52376451085</v>
      </c>
      <c r="E52" s="37">
        <f>VLOOKUP(C$6,Data!$A$3:$G$8,5,FALSE)+IF($B52=refund_inc_year,refund_inc,0)</f>
        <v>7.0000000000000007E-2</v>
      </c>
      <c r="F52" s="58">
        <f t="shared" si="3"/>
        <v>342.09332703151904</v>
      </c>
      <c r="G52" s="75">
        <f>F52*VLOOKUP(C$6,Data!$A$4:$G$8,2,FALSE)</f>
        <v>1710.4666351575952</v>
      </c>
      <c r="H52" s="75">
        <f t="shared" si="4"/>
        <v>733.05712935325482</v>
      </c>
      <c r="I52" s="11">
        <f>I51*(1+VLOOKUP(I$6,Data!$A$3:$G$8,6,0))^(1/12)</f>
        <v>9380.9805070583843</v>
      </c>
      <c r="J52" s="59">
        <f>I52*VLOOKUP(I$6,Data!$A$4:$G$8,3,FALSE)</f>
        <v>2814.2941521175153</v>
      </c>
      <c r="K52" s="37">
        <f>VLOOKUP(I$6,Data!$A$3:$G$8,5,FALSE)+IF($B52=refund_inc_year,refund_inc,0)</f>
        <v>0.06</v>
      </c>
      <c r="L52" s="58">
        <f t="shared" si="5"/>
        <v>562.85883042350304</v>
      </c>
      <c r="M52" s="75">
        <f>L52*VLOOKUP(I$6,Data!$A$4:$G$8,2,FALSE)</f>
        <v>3377.152982541018</v>
      </c>
      <c r="N52" s="75">
        <f t="shared" si="6"/>
        <v>-562.8588304235027</v>
      </c>
      <c r="O52" s="11">
        <f>O51*(1+VLOOKUP(O$6,Data!$A$3:$G$8,6,0))^(1/12)</f>
        <v>9190.7300355478219</v>
      </c>
      <c r="P52" s="59">
        <f>O52*VLOOKUP(O$6,Data!$A$4:$G$8,3,FALSE)</f>
        <v>9190.7300355478219</v>
      </c>
      <c r="Q52" s="37">
        <f>VLOOKUP(O$6,Data!$A$3:$G$8,5,FALSE)+IF($B52=refund_inc_year,refund_inc,0)</f>
        <v>0.05</v>
      </c>
      <c r="R52" s="58">
        <f t="shared" si="7"/>
        <v>459.53650177739109</v>
      </c>
      <c r="S52" s="75">
        <f>R52*VLOOKUP(O$6,Data!$A$4:$G$8,2,FALSE)</f>
        <v>3446.5237633304332</v>
      </c>
      <c r="T52" s="75">
        <f t="shared" si="8"/>
        <v>5744.2062722173887</v>
      </c>
      <c r="U52" s="11">
        <f>U51*(1+VLOOKUP(U$6,Data!$A$3:$G$8,6,0))^(1/12)</f>
        <v>11403.110901050639</v>
      </c>
      <c r="V52" s="59">
        <f>U52*VLOOKUP(U$6,Data!$A$4:$G$8,3,FALSE)</f>
        <v>28507.777252626598</v>
      </c>
      <c r="W52" s="37">
        <f>VLOOKUP(U$6,Data!$A$3:$G$8,5,FALSE)+IF($B52=refund_inc_year,refund_inc,0)</f>
        <v>7.0000000000000007E-2</v>
      </c>
      <c r="X52" s="58">
        <f t="shared" si="9"/>
        <v>798.2177630735448</v>
      </c>
      <c r="Y52" s="75">
        <f>X52*VLOOKUP(U$6,Data!$A$4:$G$8,2,FALSE)</f>
        <v>6784.8509861251305</v>
      </c>
      <c r="Z52" s="75">
        <f t="shared" si="10"/>
        <v>21722.926266501468</v>
      </c>
      <c r="AA52" s="11">
        <f>AA51*(1+VLOOKUP(AA$6,Data!$A$3:$G$8,6,0))^(1/12)</f>
        <v>11084.459271532698</v>
      </c>
      <c r="AB52" s="59">
        <f>AA52*VLOOKUP(AA$6,Data!$A$4:$G$8,3,FALSE)</f>
        <v>30482.262996714919</v>
      </c>
      <c r="AC52" s="37">
        <f>VLOOKUP(AA$6,Data!$A$3:$G$8,5,FALSE)+IF($B52=refund_inc_year,refund_inc,0)</f>
        <v>0.08</v>
      </c>
      <c r="AD52" s="58">
        <f t="shared" si="11"/>
        <v>886.75674172261586</v>
      </c>
      <c r="AE52" s="75">
        <f>AD52*VLOOKUP(AA$6,Data!$A$4:$G$8,2,FALSE)</f>
        <v>8867.5674172261588</v>
      </c>
      <c r="AF52" s="75">
        <f t="shared" si="12"/>
        <v>21614.695579488762</v>
      </c>
      <c r="AG52" s="61">
        <f t="shared" si="13"/>
        <v>49252.026417137371</v>
      </c>
      <c r="AH52" s="60">
        <f>'Combined Admin'!D51</f>
        <v>17500</v>
      </c>
      <c r="AI52" s="60">
        <f t="shared" si="16"/>
        <v>0</v>
      </c>
      <c r="AJ52" s="60">
        <f t="shared" si="14"/>
        <v>17500</v>
      </c>
      <c r="AK52" s="60">
        <f t="shared" si="15"/>
        <v>31752.026417137371</v>
      </c>
      <c r="AL52" s="62">
        <f t="shared" si="17"/>
        <v>2183745.7040322972</v>
      </c>
    </row>
    <row r="53" spans="1:38" x14ac:dyDescent="0.25">
      <c r="A53" s="2">
        <v>46</v>
      </c>
      <c r="B53" s="36">
        <f t="shared" si="2"/>
        <v>4</v>
      </c>
      <c r="C53" s="11">
        <f>C52*(1+VLOOKUP(C$6,Data!$A$3:$G$8,6,0))^(1/12)</f>
        <v>4895.1188853422273</v>
      </c>
      <c r="D53" s="59">
        <f>C53*VLOOKUP(C$6,Data!$A$4:$G$8,3,FALSE)</f>
        <v>2447.5594426711136</v>
      </c>
      <c r="E53" s="37">
        <f>VLOOKUP(C$6,Data!$A$3:$G$8,5,FALSE)+IF($B53=refund_inc_year,refund_inc,0)</f>
        <v>7.0000000000000007E-2</v>
      </c>
      <c r="F53" s="58">
        <f t="shared" si="3"/>
        <v>342.65832197395594</v>
      </c>
      <c r="G53" s="75">
        <f>F53*VLOOKUP(C$6,Data!$A$4:$G$8,2,FALSE)</f>
        <v>1713.2916098697797</v>
      </c>
      <c r="H53" s="75">
        <f t="shared" si="4"/>
        <v>734.26783280133395</v>
      </c>
      <c r="I53" s="11">
        <f>I52*(1+VLOOKUP(I$6,Data!$A$3:$G$8,6,0))^(1/12)</f>
        <v>9388.7623879389284</v>
      </c>
      <c r="J53" s="59">
        <f>I53*VLOOKUP(I$6,Data!$A$4:$G$8,3,FALSE)</f>
        <v>2816.6287163816783</v>
      </c>
      <c r="K53" s="37">
        <f>VLOOKUP(I$6,Data!$A$3:$G$8,5,FALSE)+IF($B53=refund_inc_year,refund_inc,0)</f>
        <v>0.06</v>
      </c>
      <c r="L53" s="58">
        <f t="shared" si="5"/>
        <v>563.32574327633563</v>
      </c>
      <c r="M53" s="75">
        <f>L53*VLOOKUP(I$6,Data!$A$4:$G$8,2,FALSE)</f>
        <v>3379.9544596580135</v>
      </c>
      <c r="N53" s="75">
        <f t="shared" si="6"/>
        <v>-563.32574327633529</v>
      </c>
      <c r="O53" s="11">
        <f>O52*(1+VLOOKUP(O$6,Data!$A$3:$G$8,6,0))^(1/12)</f>
        <v>9228.1742073747391</v>
      </c>
      <c r="P53" s="59">
        <f>O53*VLOOKUP(O$6,Data!$A$4:$G$8,3,FALSE)</f>
        <v>9228.1742073747391</v>
      </c>
      <c r="Q53" s="37">
        <f>VLOOKUP(O$6,Data!$A$3:$G$8,5,FALSE)+IF($B53=refund_inc_year,refund_inc,0)</f>
        <v>0.05</v>
      </c>
      <c r="R53" s="58">
        <f t="shared" si="7"/>
        <v>461.40871036873699</v>
      </c>
      <c r="S53" s="75">
        <f>R53*VLOOKUP(O$6,Data!$A$4:$G$8,2,FALSE)</f>
        <v>3460.5653277655274</v>
      </c>
      <c r="T53" s="75">
        <f t="shared" si="8"/>
        <v>5767.6088796092117</v>
      </c>
      <c r="U53" s="11">
        <f>U52*(1+VLOOKUP(U$6,Data!$A$3:$G$8,6,0))^(1/12)</f>
        <v>11421.944065798536</v>
      </c>
      <c r="V53" s="59">
        <f>U53*VLOOKUP(U$6,Data!$A$4:$G$8,3,FALSE)</f>
        <v>28554.860164496342</v>
      </c>
      <c r="W53" s="37">
        <f>VLOOKUP(U$6,Data!$A$3:$G$8,5,FALSE)+IF($B53=refund_inc_year,refund_inc,0)</f>
        <v>7.0000000000000007E-2</v>
      </c>
      <c r="X53" s="58">
        <f t="shared" si="9"/>
        <v>799.5360846058976</v>
      </c>
      <c r="Y53" s="75">
        <f>X53*VLOOKUP(U$6,Data!$A$4:$G$8,2,FALSE)</f>
        <v>6796.0567191501295</v>
      </c>
      <c r="Z53" s="75">
        <f t="shared" si="10"/>
        <v>21758.803445346213</v>
      </c>
      <c r="AA53" s="11">
        <f>AA52*(1+VLOOKUP(AA$6,Data!$A$3:$G$8,6,0))^(1/12)</f>
        <v>11111.796538376411</v>
      </c>
      <c r="AB53" s="59">
        <f>AA53*VLOOKUP(AA$6,Data!$A$4:$G$8,3,FALSE)</f>
        <v>30557.44048053513</v>
      </c>
      <c r="AC53" s="37">
        <f>VLOOKUP(AA$6,Data!$A$3:$G$8,5,FALSE)+IF($B53=refund_inc_year,refund_inc,0)</f>
        <v>0.08</v>
      </c>
      <c r="AD53" s="58">
        <f t="shared" si="11"/>
        <v>888.94372307011292</v>
      </c>
      <c r="AE53" s="75">
        <f>AD53*VLOOKUP(AA$6,Data!$A$4:$G$8,2,FALSE)</f>
        <v>8889.437230701129</v>
      </c>
      <c r="AF53" s="75">
        <f t="shared" si="12"/>
        <v>21668.003249834001</v>
      </c>
      <c r="AG53" s="61">
        <f t="shared" si="13"/>
        <v>49365.357664314426</v>
      </c>
      <c r="AH53" s="60">
        <f>'Combined Admin'!D52</f>
        <v>17500</v>
      </c>
      <c r="AI53" s="60">
        <f t="shared" si="16"/>
        <v>0</v>
      </c>
      <c r="AJ53" s="60">
        <f t="shared" si="14"/>
        <v>17500</v>
      </c>
      <c r="AK53" s="60">
        <f t="shared" si="15"/>
        <v>31865.357664314426</v>
      </c>
      <c r="AL53" s="62">
        <f t="shared" si="17"/>
        <v>2165194.24356568</v>
      </c>
    </row>
    <row r="54" spans="1:38" x14ac:dyDescent="0.25">
      <c r="A54" s="2">
        <v>47</v>
      </c>
      <c r="B54" s="36">
        <f t="shared" si="2"/>
        <v>4</v>
      </c>
      <c r="C54" s="11">
        <f>C53*(1+VLOOKUP(C$6,Data!$A$3:$G$8,6,0))^(1/12)</f>
        <v>4903.203572163935</v>
      </c>
      <c r="D54" s="59">
        <f>C54*VLOOKUP(C$6,Data!$A$4:$G$8,3,FALSE)</f>
        <v>2451.6017860819675</v>
      </c>
      <c r="E54" s="37">
        <f>VLOOKUP(C$6,Data!$A$3:$G$8,5,FALSE)+IF($B54=refund_inc_year,refund_inc,0)</f>
        <v>7.0000000000000007E-2</v>
      </c>
      <c r="F54" s="58">
        <f t="shared" si="3"/>
        <v>343.22425005147545</v>
      </c>
      <c r="G54" s="75">
        <f>F54*VLOOKUP(C$6,Data!$A$4:$G$8,2,FALSE)</f>
        <v>1716.1212502573771</v>
      </c>
      <c r="H54" s="75">
        <f t="shared" si="4"/>
        <v>735.48053582459033</v>
      </c>
      <c r="I54" s="11">
        <f>I53*(1+VLOOKUP(I$6,Data!$A$3:$G$8,6,0))^(1/12)</f>
        <v>9396.5507241862633</v>
      </c>
      <c r="J54" s="59">
        <f>I54*VLOOKUP(I$6,Data!$A$4:$G$8,3,FALSE)</f>
        <v>2818.965217255879</v>
      </c>
      <c r="K54" s="37">
        <f>VLOOKUP(I$6,Data!$A$3:$G$8,5,FALSE)+IF($B54=refund_inc_year,refund_inc,0)</f>
        <v>0.06</v>
      </c>
      <c r="L54" s="58">
        <f t="shared" si="5"/>
        <v>563.79304345117578</v>
      </c>
      <c r="M54" s="75">
        <f>L54*VLOOKUP(I$6,Data!$A$4:$G$8,2,FALSE)</f>
        <v>3382.7582607070544</v>
      </c>
      <c r="N54" s="75">
        <f t="shared" si="6"/>
        <v>-563.79304345117544</v>
      </c>
      <c r="O54" s="11">
        <f>O53*(1+VLOOKUP(O$6,Data!$A$3:$G$8,6,0))^(1/12)</f>
        <v>9265.7709313926553</v>
      </c>
      <c r="P54" s="59">
        <f>O54*VLOOKUP(O$6,Data!$A$4:$G$8,3,FALSE)</f>
        <v>9265.7709313926553</v>
      </c>
      <c r="Q54" s="37">
        <f>VLOOKUP(O$6,Data!$A$3:$G$8,5,FALSE)+IF($B54=refund_inc_year,refund_inc,0)</f>
        <v>0.05</v>
      </c>
      <c r="R54" s="58">
        <f t="shared" si="7"/>
        <v>463.28854656963279</v>
      </c>
      <c r="S54" s="75">
        <f>R54*VLOOKUP(O$6,Data!$A$4:$G$8,2,FALSE)</f>
        <v>3474.6640992722459</v>
      </c>
      <c r="T54" s="75">
        <f t="shared" si="8"/>
        <v>5791.1068321204093</v>
      </c>
      <c r="U54" s="11">
        <f>U53*(1+VLOOKUP(U$6,Data!$A$3:$G$8,6,0))^(1/12)</f>
        <v>11440.808335049187</v>
      </c>
      <c r="V54" s="59">
        <f>U54*VLOOKUP(U$6,Data!$A$4:$G$8,3,FALSE)</f>
        <v>28602.020837622968</v>
      </c>
      <c r="W54" s="37">
        <f>VLOOKUP(U$6,Data!$A$3:$G$8,5,FALSE)+IF($B54=refund_inc_year,refund_inc,0)</f>
        <v>7.0000000000000007E-2</v>
      </c>
      <c r="X54" s="58">
        <f t="shared" si="9"/>
        <v>800.85658345344314</v>
      </c>
      <c r="Y54" s="75">
        <f>X54*VLOOKUP(U$6,Data!$A$4:$G$8,2,FALSE)</f>
        <v>6807.280959354267</v>
      </c>
      <c r="Z54" s="75">
        <f t="shared" si="10"/>
        <v>21794.739878268701</v>
      </c>
      <c r="AA54" s="11">
        <f>AA53*(1+VLOOKUP(AA$6,Data!$A$3:$G$8,6,0))^(1/12)</f>
        <v>11139.201226294997</v>
      </c>
      <c r="AB54" s="59">
        <f>AA54*VLOOKUP(AA$6,Data!$A$4:$G$8,3,FALSE)</f>
        <v>30632.803372311242</v>
      </c>
      <c r="AC54" s="37">
        <f>VLOOKUP(AA$6,Data!$A$3:$G$8,5,FALSE)+IF($B54=refund_inc_year,refund_inc,0)</f>
        <v>0.08</v>
      </c>
      <c r="AD54" s="58">
        <f t="shared" si="11"/>
        <v>891.13609810359981</v>
      </c>
      <c r="AE54" s="75">
        <f>AD54*VLOOKUP(AA$6,Data!$A$4:$G$8,2,FALSE)</f>
        <v>8911.3609810359976</v>
      </c>
      <c r="AF54" s="75">
        <f t="shared" si="12"/>
        <v>21721.442391275246</v>
      </c>
      <c r="AG54" s="61">
        <f t="shared" si="13"/>
        <v>49478.976594037769</v>
      </c>
      <c r="AH54" s="60">
        <f>'Combined Admin'!D53</f>
        <v>17500</v>
      </c>
      <c r="AI54" s="60">
        <f t="shared" si="16"/>
        <v>0</v>
      </c>
      <c r="AJ54" s="60">
        <f t="shared" si="14"/>
        <v>17500</v>
      </c>
      <c r="AK54" s="60">
        <f t="shared" si="15"/>
        <v>31978.976594037769</v>
      </c>
      <c r="AL54" s="62">
        <f t="shared" si="17"/>
        <v>2146417.3097755825</v>
      </c>
    </row>
    <row r="55" spans="1:38" x14ac:dyDescent="0.25">
      <c r="A55" s="2">
        <v>48</v>
      </c>
      <c r="B55" s="36">
        <f t="shared" si="2"/>
        <v>4</v>
      </c>
      <c r="C55" s="11">
        <f>C54*(1+VLOOKUP(C$6,Data!$A$3:$G$8,6,0))^(1/12)</f>
        <v>4911.3016115032297</v>
      </c>
      <c r="D55" s="59">
        <f>C55*VLOOKUP(C$6,Data!$A$4:$G$8,3,FALSE)</f>
        <v>2455.6508057516148</v>
      </c>
      <c r="E55" s="37">
        <f>VLOOKUP(C$6,Data!$A$3:$G$8,5,FALSE)+IF($B55=refund_inc_year,refund_inc,0)</f>
        <v>7.0000000000000007E-2</v>
      </c>
      <c r="F55" s="58">
        <f t="shared" si="3"/>
        <v>343.79111280522613</v>
      </c>
      <c r="G55" s="75">
        <f>F55*VLOOKUP(C$6,Data!$A$4:$G$8,2,FALSE)</f>
        <v>1718.9555640261306</v>
      </c>
      <c r="H55" s="75">
        <f t="shared" si="4"/>
        <v>736.69524172548427</v>
      </c>
      <c r="I55" s="11">
        <f>I54*(1+VLOOKUP(I$6,Data!$A$3:$G$8,6,0))^(1/12)</f>
        <v>9404.3455211553628</v>
      </c>
      <c r="J55" s="59">
        <f>I55*VLOOKUP(I$6,Data!$A$4:$G$8,3,FALSE)</f>
        <v>2821.3036563466089</v>
      </c>
      <c r="K55" s="37">
        <f>VLOOKUP(I$6,Data!$A$3:$G$8,5,FALSE)+IF($B55=refund_inc_year,refund_inc,0)</f>
        <v>0.06</v>
      </c>
      <c r="L55" s="58">
        <f t="shared" si="5"/>
        <v>564.2607312693217</v>
      </c>
      <c r="M55" s="75">
        <f>L55*VLOOKUP(I$6,Data!$A$4:$G$8,2,FALSE)</f>
        <v>3385.5643876159302</v>
      </c>
      <c r="N55" s="75">
        <f t="shared" si="6"/>
        <v>-564.26073126932124</v>
      </c>
      <c r="O55" s="11">
        <f>O54*(1+VLOOKUP(O$6,Data!$A$3:$G$8,6,0))^(1/12)</f>
        <v>9303.5208291180788</v>
      </c>
      <c r="P55" s="59">
        <f>O55*VLOOKUP(O$6,Data!$A$4:$G$8,3,FALSE)</f>
        <v>9303.5208291180788</v>
      </c>
      <c r="Q55" s="37">
        <f>VLOOKUP(O$6,Data!$A$3:$G$8,5,FALSE)+IF($B55=refund_inc_year,refund_inc,0)</f>
        <v>0.05</v>
      </c>
      <c r="R55" s="58">
        <f t="shared" si="7"/>
        <v>465.17604145590394</v>
      </c>
      <c r="S55" s="75">
        <f>R55*VLOOKUP(O$6,Data!$A$4:$G$8,2,FALSE)</f>
        <v>3488.8203109192796</v>
      </c>
      <c r="T55" s="75">
        <f t="shared" si="8"/>
        <v>5814.7005181987988</v>
      </c>
      <c r="U55" s="11">
        <f>U54*(1+VLOOKUP(U$6,Data!$A$3:$G$8,6,0))^(1/12)</f>
        <v>11459.703760174207</v>
      </c>
      <c r="V55" s="59">
        <f>U55*VLOOKUP(U$6,Data!$A$4:$G$8,3,FALSE)</f>
        <v>28649.259400435516</v>
      </c>
      <c r="W55" s="37">
        <f>VLOOKUP(U$6,Data!$A$3:$G$8,5,FALSE)+IF($B55=refund_inc_year,refund_inc,0)</f>
        <v>7.0000000000000007E-2</v>
      </c>
      <c r="X55" s="58">
        <f t="shared" si="9"/>
        <v>802.17926321219454</v>
      </c>
      <c r="Y55" s="75">
        <f>X55*VLOOKUP(U$6,Data!$A$4:$G$8,2,FALSE)</f>
        <v>6818.5237373036534</v>
      </c>
      <c r="Z55" s="75">
        <f t="shared" si="10"/>
        <v>21830.735663131862</v>
      </c>
      <c r="AA55" s="11">
        <f>AA54*(1+VLOOKUP(AA$6,Data!$A$3:$G$8,6,0))^(1/12)</f>
        <v>11166.673501567017</v>
      </c>
      <c r="AB55" s="59">
        <f>AA55*VLOOKUP(AA$6,Data!$A$4:$G$8,3,FALSE)</f>
        <v>30708.352129309296</v>
      </c>
      <c r="AC55" s="37">
        <f>VLOOKUP(AA$6,Data!$A$3:$G$8,5,FALSE)+IF($B55=refund_inc_year,refund_inc,0)</f>
        <v>0.08</v>
      </c>
      <c r="AD55" s="58">
        <f t="shared" si="11"/>
        <v>893.33388012536136</v>
      </c>
      <c r="AE55" s="75">
        <f>AD55*VLOOKUP(AA$6,Data!$A$4:$G$8,2,FALSE)</f>
        <v>8933.3388012536143</v>
      </c>
      <c r="AF55" s="75">
        <f t="shared" si="12"/>
        <v>21775.013328055684</v>
      </c>
      <c r="AG55" s="61">
        <f t="shared" si="13"/>
        <v>49592.88401984251</v>
      </c>
      <c r="AH55" s="60">
        <f>'Combined Admin'!D54</f>
        <v>17500</v>
      </c>
      <c r="AI55" s="60">
        <f t="shared" si="16"/>
        <v>0</v>
      </c>
      <c r="AJ55" s="60">
        <f t="shared" si="14"/>
        <v>17500</v>
      </c>
      <c r="AK55" s="60">
        <f t="shared" si="15"/>
        <v>32092.88401984251</v>
      </c>
      <c r="AL55" s="62">
        <f t="shared" si="17"/>
        <v>2127413.2520114761</v>
      </c>
    </row>
    <row r="56" spans="1:38" x14ac:dyDescent="0.25">
      <c r="A56" s="2">
        <v>49</v>
      </c>
      <c r="B56" s="36">
        <f t="shared" si="2"/>
        <v>5</v>
      </c>
      <c r="C56" s="11">
        <f>C55*(1+VLOOKUP(C$6,Data!$A$3:$G$8,6,0))^(1/12)</f>
        <v>4919.4130254128786</v>
      </c>
      <c r="D56" s="59">
        <f>C56*VLOOKUP(C$6,Data!$A$4:$G$8,3,FALSE)</f>
        <v>2459.7065127064393</v>
      </c>
      <c r="E56" s="37">
        <f>VLOOKUP(C$6,Data!$A$3:$G$8,5,FALSE)+IF($B56=refund_inc_year,refund_inc,0)</f>
        <v>7.0000000000000007E-2</v>
      </c>
      <c r="F56" s="58">
        <f t="shared" si="3"/>
        <v>344.35891177890153</v>
      </c>
      <c r="G56" s="75">
        <f>F56*VLOOKUP(C$6,Data!$A$4:$G$8,2,FALSE)</f>
        <v>1721.7945588945076</v>
      </c>
      <c r="H56" s="75">
        <f t="shared" si="4"/>
        <v>737.91195381193165</v>
      </c>
      <c r="I56" s="11">
        <f>I55*(1+VLOOKUP(I$6,Data!$A$3:$G$8,6,0))^(1/12)</f>
        <v>9412.1467842056427</v>
      </c>
      <c r="J56" s="59">
        <f>I56*VLOOKUP(I$6,Data!$A$4:$G$8,3,FALSE)</f>
        <v>2823.6440352616928</v>
      </c>
      <c r="K56" s="37">
        <f>VLOOKUP(I$6,Data!$A$3:$G$8,5,FALSE)+IF($B56=refund_inc_year,refund_inc,0)</f>
        <v>0.06</v>
      </c>
      <c r="L56" s="58">
        <f t="shared" si="5"/>
        <v>564.72880705233854</v>
      </c>
      <c r="M56" s="75">
        <f>L56*VLOOKUP(I$6,Data!$A$4:$G$8,2,FALSE)</f>
        <v>3388.372842314031</v>
      </c>
      <c r="N56" s="75">
        <f t="shared" si="6"/>
        <v>-564.7288070523382</v>
      </c>
      <c r="O56" s="11">
        <f>O55*(1+VLOOKUP(O$6,Data!$A$3:$G$8,6,0))^(1/12)</f>
        <v>9341.4245245996572</v>
      </c>
      <c r="P56" s="59">
        <f>O56*VLOOKUP(O$6,Data!$A$4:$G$8,3,FALSE)</f>
        <v>9341.4245245996572</v>
      </c>
      <c r="Q56" s="37">
        <f>VLOOKUP(O$6,Data!$A$3:$G$8,5,FALSE)+IF($B56=refund_inc_year,refund_inc,0)</f>
        <v>0.05</v>
      </c>
      <c r="R56" s="58">
        <f t="shared" si="7"/>
        <v>467.07122622998287</v>
      </c>
      <c r="S56" s="75">
        <f>R56*VLOOKUP(O$6,Data!$A$4:$G$8,2,FALSE)</f>
        <v>3503.0341967248714</v>
      </c>
      <c r="T56" s="75">
        <f t="shared" si="8"/>
        <v>5838.3903278747857</v>
      </c>
      <c r="U56" s="11">
        <f>U55*(1+VLOOKUP(U$6,Data!$A$3:$G$8,6,0))^(1/12)</f>
        <v>11478.630392630055</v>
      </c>
      <c r="V56" s="59">
        <f>U56*VLOOKUP(U$6,Data!$A$4:$G$8,3,FALSE)</f>
        <v>28696.575981575137</v>
      </c>
      <c r="W56" s="37">
        <f>VLOOKUP(U$6,Data!$A$3:$G$8,5,FALSE)+IF($B56=refund_inc_year,refund_inc,0)</f>
        <v>7.0000000000000007E-2</v>
      </c>
      <c r="X56" s="58">
        <f t="shared" si="9"/>
        <v>803.50412748410395</v>
      </c>
      <c r="Y56" s="75">
        <f>X56*VLOOKUP(U$6,Data!$A$4:$G$8,2,FALSE)</f>
        <v>6829.7850836148837</v>
      </c>
      <c r="Z56" s="75">
        <f t="shared" si="10"/>
        <v>21866.790897960254</v>
      </c>
      <c r="AA56" s="11">
        <f>AA55*(1+VLOOKUP(AA$6,Data!$A$3:$G$8,6,0))^(1/12)</f>
        <v>11194.213530881116</v>
      </c>
      <c r="AB56" s="59">
        <f>AA56*VLOOKUP(AA$6,Data!$A$4:$G$8,3,FALSE)</f>
        <v>30784.087209923069</v>
      </c>
      <c r="AC56" s="37">
        <f>VLOOKUP(AA$6,Data!$A$3:$G$8,5,FALSE)+IF($B56=refund_inc_year,refund_inc,0)</f>
        <v>0.08</v>
      </c>
      <c r="AD56" s="58">
        <f t="shared" si="11"/>
        <v>895.53708247048928</v>
      </c>
      <c r="AE56" s="75">
        <f>AD56*VLOOKUP(AA$6,Data!$A$4:$G$8,2,FALSE)</f>
        <v>8955.3708247048926</v>
      </c>
      <c r="AF56" s="75">
        <f t="shared" si="12"/>
        <v>21828.716385218177</v>
      </c>
      <c r="AG56" s="61">
        <f t="shared" si="13"/>
        <v>49707.080757812808</v>
      </c>
      <c r="AH56" s="60">
        <f>'Combined Admin'!D55</f>
        <v>17500</v>
      </c>
      <c r="AI56" s="60">
        <f t="shared" si="16"/>
        <v>0</v>
      </c>
      <c r="AJ56" s="60">
        <f t="shared" si="14"/>
        <v>17500</v>
      </c>
      <c r="AK56" s="60">
        <f t="shared" si="15"/>
        <v>32207.080757812808</v>
      </c>
      <c r="AL56" s="62">
        <f t="shared" si="17"/>
        <v>2108180.4088312481</v>
      </c>
    </row>
    <row r="57" spans="1:38" x14ac:dyDescent="0.25">
      <c r="A57" s="2">
        <v>50</v>
      </c>
      <c r="B57" s="36">
        <f t="shared" si="2"/>
        <v>5</v>
      </c>
      <c r="C57" s="11">
        <f>C56*(1+VLOOKUP(C$6,Data!$A$3:$G$8,6,0))^(1/12)</f>
        <v>4927.5378359820734</v>
      </c>
      <c r="D57" s="59">
        <f>C57*VLOOKUP(C$6,Data!$A$4:$G$8,3,FALSE)</f>
        <v>2463.7689179910367</v>
      </c>
      <c r="E57" s="37">
        <f>VLOOKUP(C$6,Data!$A$3:$G$8,5,FALSE)+IF($B57=refund_inc_year,refund_inc,0)</f>
        <v>7.0000000000000007E-2</v>
      </c>
      <c r="F57" s="58">
        <f t="shared" si="3"/>
        <v>344.92764851874517</v>
      </c>
      <c r="G57" s="75">
        <f>F57*VLOOKUP(C$6,Data!$A$4:$G$8,2,FALSE)</f>
        <v>1724.6382425937259</v>
      </c>
      <c r="H57" s="75">
        <f t="shared" si="4"/>
        <v>739.13067539731082</v>
      </c>
      <c r="I57" s="11">
        <f>I56*(1+VLOOKUP(I$6,Data!$A$3:$G$8,6,0))^(1/12)</f>
        <v>9419.9545187009626</v>
      </c>
      <c r="J57" s="59">
        <f>I57*VLOOKUP(I$6,Data!$A$4:$G$8,3,FALSE)</f>
        <v>2825.9863556102887</v>
      </c>
      <c r="K57" s="37">
        <f>VLOOKUP(I$6,Data!$A$3:$G$8,5,FALSE)+IF($B57=refund_inc_year,refund_inc,0)</f>
        <v>0.06</v>
      </c>
      <c r="L57" s="58">
        <f t="shared" si="5"/>
        <v>565.19727112205771</v>
      </c>
      <c r="M57" s="75">
        <f>L57*VLOOKUP(I$6,Data!$A$4:$G$8,2,FALSE)</f>
        <v>3391.1836267323461</v>
      </c>
      <c r="N57" s="75">
        <f t="shared" si="6"/>
        <v>-565.19727112205737</v>
      </c>
      <c r="O57" s="11">
        <f>O56*(1+VLOOKUP(O$6,Data!$A$3:$G$8,6,0))^(1/12)</f>
        <v>9379.4826444284845</v>
      </c>
      <c r="P57" s="59">
        <f>O57*VLOOKUP(O$6,Data!$A$4:$G$8,3,FALSE)</f>
        <v>9379.4826444284845</v>
      </c>
      <c r="Q57" s="37">
        <f>VLOOKUP(O$6,Data!$A$3:$G$8,5,FALSE)+IF($B57=refund_inc_year,refund_inc,0)</f>
        <v>0.05</v>
      </c>
      <c r="R57" s="58">
        <f t="shared" si="7"/>
        <v>468.97413222142427</v>
      </c>
      <c r="S57" s="75">
        <f>R57*VLOOKUP(O$6,Data!$A$4:$G$8,2,FALSE)</f>
        <v>3517.3059916606821</v>
      </c>
      <c r="T57" s="75">
        <f t="shared" si="8"/>
        <v>5862.1766527678028</v>
      </c>
      <c r="U57" s="11">
        <f>U56*(1+VLOOKUP(U$6,Data!$A$3:$G$8,6,0))^(1/12)</f>
        <v>11497.588283958175</v>
      </c>
      <c r="V57" s="59">
        <f>U57*VLOOKUP(U$6,Data!$A$4:$G$8,3,FALSE)</f>
        <v>28743.970709895439</v>
      </c>
      <c r="W57" s="37">
        <f>VLOOKUP(U$6,Data!$A$3:$G$8,5,FALSE)+IF($B57=refund_inc_year,refund_inc,0)</f>
        <v>7.0000000000000007E-2</v>
      </c>
      <c r="X57" s="58">
        <f t="shared" si="9"/>
        <v>804.83117987707237</v>
      </c>
      <c r="Y57" s="75">
        <f>X57*VLOOKUP(U$6,Data!$A$4:$G$8,2,FALSE)</f>
        <v>6841.0650289551149</v>
      </c>
      <c r="Z57" s="75">
        <f t="shared" si="10"/>
        <v>21902.905680940323</v>
      </c>
      <c r="AA57" s="11">
        <f>AA56*(1+VLOOKUP(AA$6,Data!$A$3:$G$8,6,0))^(1/12)</f>
        <v>11221.821481337041</v>
      </c>
      <c r="AB57" s="59">
        <f>AA57*VLOOKUP(AA$6,Data!$A$4:$G$8,3,FALSE)</f>
        <v>30860.009073676865</v>
      </c>
      <c r="AC57" s="37">
        <f>VLOOKUP(AA$6,Data!$A$3:$G$8,5,FALSE)+IF($B57=refund_inc_year,refund_inc,0)</f>
        <v>0.08</v>
      </c>
      <c r="AD57" s="58">
        <f t="shared" si="11"/>
        <v>897.74571850696339</v>
      </c>
      <c r="AE57" s="75">
        <f>AD57*VLOOKUP(AA$6,Data!$A$4:$G$8,2,FALSE)</f>
        <v>8977.4571850696339</v>
      </c>
      <c r="AF57" s="75">
        <f t="shared" si="12"/>
        <v>21882.551888607231</v>
      </c>
      <c r="AG57" s="61">
        <f t="shared" si="13"/>
        <v>49821.567626590608</v>
      </c>
      <c r="AH57" s="60">
        <f>'Combined Admin'!D56</f>
        <v>17500</v>
      </c>
      <c r="AI57" s="60">
        <f t="shared" si="16"/>
        <v>0</v>
      </c>
      <c r="AJ57" s="60">
        <f t="shared" si="14"/>
        <v>17500</v>
      </c>
      <c r="AK57" s="60">
        <f t="shared" si="15"/>
        <v>32321.567626590608</v>
      </c>
      <c r="AL57" s="62">
        <f t="shared" si="17"/>
        <v>2088717.1079334184</v>
      </c>
    </row>
    <row r="58" spans="1:38" x14ac:dyDescent="0.25">
      <c r="A58" s="2">
        <v>51</v>
      </c>
      <c r="B58" s="36">
        <f t="shared" si="2"/>
        <v>5</v>
      </c>
      <c r="C58" s="11">
        <f>C57*(1+VLOOKUP(C$6,Data!$A$3:$G$8,6,0))^(1/12)</f>
        <v>4935.6760653364854</v>
      </c>
      <c r="D58" s="59">
        <f>C58*VLOOKUP(C$6,Data!$A$4:$G$8,3,FALSE)</f>
        <v>2467.8380326682427</v>
      </c>
      <c r="E58" s="37">
        <f>VLOOKUP(C$6,Data!$A$3:$G$8,5,FALSE)+IF($B58=refund_inc_year,refund_inc,0)</f>
        <v>7.0000000000000007E-2</v>
      </c>
      <c r="F58" s="58">
        <f t="shared" si="3"/>
        <v>345.49732457355401</v>
      </c>
      <c r="G58" s="75">
        <f>F58*VLOOKUP(C$6,Data!$A$4:$G$8,2,FALSE)</f>
        <v>1727.4866228677702</v>
      </c>
      <c r="H58" s="75">
        <f t="shared" si="4"/>
        <v>740.35140980047254</v>
      </c>
      <c r="I58" s="11">
        <f>I57*(1+VLOOKUP(I$6,Data!$A$3:$G$8,6,0))^(1/12)</f>
        <v>9427.7687300096331</v>
      </c>
      <c r="J58" s="59">
        <f>I58*VLOOKUP(I$6,Data!$A$4:$G$8,3,FALSE)</f>
        <v>2828.3306190028898</v>
      </c>
      <c r="K58" s="37">
        <f>VLOOKUP(I$6,Data!$A$3:$G$8,5,FALSE)+IF($B58=refund_inc_year,refund_inc,0)</f>
        <v>0.06</v>
      </c>
      <c r="L58" s="58">
        <f t="shared" si="5"/>
        <v>565.66612380057802</v>
      </c>
      <c r="M58" s="75">
        <f>L58*VLOOKUP(I$6,Data!$A$4:$G$8,2,FALSE)</f>
        <v>3393.9967428034679</v>
      </c>
      <c r="N58" s="75">
        <f t="shared" si="6"/>
        <v>-565.66612380057813</v>
      </c>
      <c r="O58" s="11">
        <f>O57*(1+VLOOKUP(O$6,Data!$A$3:$G$8,6,0))^(1/12)</f>
        <v>9417.6958177484667</v>
      </c>
      <c r="P58" s="59">
        <f>O58*VLOOKUP(O$6,Data!$A$4:$G$8,3,FALSE)</f>
        <v>9417.6958177484667</v>
      </c>
      <c r="Q58" s="37">
        <f>VLOOKUP(O$6,Data!$A$3:$G$8,5,FALSE)+IF($B58=refund_inc_year,refund_inc,0)</f>
        <v>0.05</v>
      </c>
      <c r="R58" s="58">
        <f t="shared" si="7"/>
        <v>470.88479088742338</v>
      </c>
      <c r="S58" s="75">
        <f>R58*VLOOKUP(O$6,Data!$A$4:$G$8,2,FALSE)</f>
        <v>3531.6359316556754</v>
      </c>
      <c r="T58" s="75">
        <f t="shared" si="8"/>
        <v>5886.0598860927912</v>
      </c>
      <c r="U58" s="11">
        <f>U57*(1+VLOOKUP(U$6,Data!$A$3:$G$8,6,0))^(1/12)</f>
        <v>11516.577485785137</v>
      </c>
      <c r="V58" s="59">
        <f>U58*VLOOKUP(U$6,Data!$A$4:$G$8,3,FALSE)</f>
        <v>28791.443714462843</v>
      </c>
      <c r="W58" s="37">
        <f>VLOOKUP(U$6,Data!$A$3:$G$8,5,FALSE)+IF($B58=refund_inc_year,refund_inc,0)</f>
        <v>7.0000000000000007E-2</v>
      </c>
      <c r="X58" s="58">
        <f t="shared" si="9"/>
        <v>806.16042400495974</v>
      </c>
      <c r="Y58" s="75">
        <f>X58*VLOOKUP(U$6,Data!$A$4:$G$8,2,FALSE)</f>
        <v>6852.3636040421579</v>
      </c>
      <c r="Z58" s="75">
        <f t="shared" si="10"/>
        <v>21939.080110420684</v>
      </c>
      <c r="AA58" s="11">
        <f>AA57*(1+VLOOKUP(AA$6,Data!$A$3:$G$8,6,0))^(1/12)</f>
        <v>11249.497520446652</v>
      </c>
      <c r="AB58" s="59">
        <f>AA58*VLOOKUP(AA$6,Data!$A$4:$G$8,3,FALSE)</f>
        <v>30936.118181228292</v>
      </c>
      <c r="AC58" s="37">
        <f>VLOOKUP(AA$6,Data!$A$3:$G$8,5,FALSE)+IF($B58=refund_inc_year,refund_inc,0)</f>
        <v>0.08</v>
      </c>
      <c r="AD58" s="58">
        <f t="shared" si="11"/>
        <v>899.95980163573222</v>
      </c>
      <c r="AE58" s="75">
        <f>AD58*VLOOKUP(AA$6,Data!$A$4:$G$8,2,FALSE)</f>
        <v>8999.5980163573222</v>
      </c>
      <c r="AF58" s="75">
        <f t="shared" si="12"/>
        <v>21936.52016487097</v>
      </c>
      <c r="AG58" s="61">
        <f t="shared" si="13"/>
        <v>49936.345447384338</v>
      </c>
      <c r="AH58" s="60">
        <f>'Combined Admin'!D57</f>
        <v>17500</v>
      </c>
      <c r="AI58" s="60">
        <f t="shared" si="16"/>
        <v>0</v>
      </c>
      <c r="AJ58" s="60">
        <f t="shared" si="14"/>
        <v>17500</v>
      </c>
      <c r="AK58" s="60">
        <f t="shared" si="15"/>
        <v>32436.345447384338</v>
      </c>
      <c r="AL58" s="62">
        <f t="shared" si="17"/>
        <v>2069021.6660889378</v>
      </c>
    </row>
    <row r="59" spans="1:38" x14ac:dyDescent="0.25">
      <c r="A59" s="2">
        <v>52</v>
      </c>
      <c r="B59" s="36">
        <f t="shared" si="2"/>
        <v>5</v>
      </c>
      <c r="C59" s="11">
        <f>C58*(1+VLOOKUP(C$6,Data!$A$3:$G$8,6,0))^(1/12)</f>
        <v>4943.8277356383305</v>
      </c>
      <c r="D59" s="59">
        <f>C59*VLOOKUP(C$6,Data!$A$4:$G$8,3,FALSE)</f>
        <v>2471.9138678191653</v>
      </c>
      <c r="E59" s="37">
        <f>VLOOKUP(C$6,Data!$A$3:$G$8,5,FALSE)+IF($B59=refund_inc_year,refund_inc,0)</f>
        <v>7.0000000000000007E-2</v>
      </c>
      <c r="F59" s="58">
        <f t="shared" si="3"/>
        <v>346.06794149468317</v>
      </c>
      <c r="G59" s="75">
        <f>F59*VLOOKUP(C$6,Data!$A$4:$G$8,2,FALSE)</f>
        <v>1730.3397074734157</v>
      </c>
      <c r="H59" s="75">
        <f t="shared" si="4"/>
        <v>741.57416034574953</v>
      </c>
      <c r="I59" s="11">
        <f>I58*(1+VLOOKUP(I$6,Data!$A$3:$G$8,6,0))^(1/12)</f>
        <v>9435.5894235044179</v>
      </c>
      <c r="J59" s="59">
        <f>I59*VLOOKUP(I$6,Data!$A$4:$G$8,3,FALSE)</f>
        <v>2830.6768270513253</v>
      </c>
      <c r="K59" s="37">
        <f>VLOOKUP(I$6,Data!$A$3:$G$8,5,FALSE)+IF($B59=refund_inc_year,refund_inc,0)</f>
        <v>0.06</v>
      </c>
      <c r="L59" s="58">
        <f t="shared" si="5"/>
        <v>566.13536541026508</v>
      </c>
      <c r="M59" s="75">
        <f>L59*VLOOKUP(I$6,Data!$A$4:$G$8,2,FALSE)</f>
        <v>3396.8121924615907</v>
      </c>
      <c r="N59" s="75">
        <f t="shared" si="6"/>
        <v>-566.13536541026542</v>
      </c>
      <c r="O59" s="11">
        <f>O58*(1+VLOOKUP(O$6,Data!$A$3:$G$8,6,0))^(1/12)</f>
        <v>9456.064676266722</v>
      </c>
      <c r="P59" s="59">
        <f>O59*VLOOKUP(O$6,Data!$A$4:$G$8,3,FALSE)</f>
        <v>9456.064676266722</v>
      </c>
      <c r="Q59" s="37">
        <f>VLOOKUP(O$6,Data!$A$3:$G$8,5,FALSE)+IF($B59=refund_inc_year,refund_inc,0)</f>
        <v>0.05</v>
      </c>
      <c r="R59" s="58">
        <f t="shared" si="7"/>
        <v>472.80323381333613</v>
      </c>
      <c r="S59" s="75">
        <f>R59*VLOOKUP(O$6,Data!$A$4:$G$8,2,FALSE)</f>
        <v>3546.024253600021</v>
      </c>
      <c r="T59" s="75">
        <f t="shared" si="8"/>
        <v>5910.0404226667015</v>
      </c>
      <c r="U59" s="11">
        <f>U58*(1+VLOOKUP(U$6,Data!$A$3:$G$8,6,0))^(1/12)</f>
        <v>11535.598049822776</v>
      </c>
      <c r="V59" s="59">
        <f>U59*VLOOKUP(U$6,Data!$A$4:$G$8,3,FALSE)</f>
        <v>28838.995124556939</v>
      </c>
      <c r="W59" s="37">
        <f>VLOOKUP(U$6,Data!$A$3:$G$8,5,FALSE)+IF($B59=refund_inc_year,refund_inc,0)</f>
        <v>7.0000000000000007E-2</v>
      </c>
      <c r="X59" s="58">
        <f t="shared" si="9"/>
        <v>807.4918634875944</v>
      </c>
      <c r="Y59" s="75">
        <f>X59*VLOOKUP(U$6,Data!$A$4:$G$8,2,FALSE)</f>
        <v>6863.6808396445522</v>
      </c>
      <c r="Z59" s="75">
        <f t="shared" si="10"/>
        <v>21975.314284912387</v>
      </c>
      <c r="AA59" s="11">
        <f>AA58*(1+VLOOKUP(AA$6,Data!$A$3:$G$8,6,0))^(1/12)</f>
        <v>11277.241816134934</v>
      </c>
      <c r="AB59" s="59">
        <f>AA59*VLOOKUP(AA$6,Data!$A$4:$G$8,3,FALSE)</f>
        <v>31012.414994371069</v>
      </c>
      <c r="AC59" s="37">
        <f>VLOOKUP(AA$6,Data!$A$3:$G$8,5,FALSE)+IF($B59=refund_inc_year,refund_inc,0)</f>
        <v>0.08</v>
      </c>
      <c r="AD59" s="58">
        <f t="shared" si="11"/>
        <v>902.1793452907948</v>
      </c>
      <c r="AE59" s="75">
        <f>AD59*VLOOKUP(AA$6,Data!$A$4:$G$8,2,FALSE)</f>
        <v>9021.7934529079484</v>
      </c>
      <c r="AF59" s="75">
        <f t="shared" si="12"/>
        <v>21990.621541463122</v>
      </c>
      <c r="AG59" s="61">
        <f t="shared" si="13"/>
        <v>50051.415043977693</v>
      </c>
      <c r="AH59" s="60">
        <f>'Combined Admin'!D58</f>
        <v>17500</v>
      </c>
      <c r="AI59" s="60">
        <f t="shared" si="16"/>
        <v>0</v>
      </c>
      <c r="AJ59" s="60">
        <f t="shared" si="14"/>
        <v>17500</v>
      </c>
      <c r="AK59" s="60">
        <f t="shared" si="15"/>
        <v>32551.415043977693</v>
      </c>
      <c r="AL59" s="62">
        <f t="shared" si="17"/>
        <v>2049092.3890725663</v>
      </c>
    </row>
    <row r="60" spans="1:38" x14ac:dyDescent="0.25">
      <c r="A60" s="2">
        <v>53</v>
      </c>
      <c r="B60" s="36">
        <f t="shared" si="2"/>
        <v>5</v>
      </c>
      <c r="C60" s="11">
        <f>C59*(1+VLOOKUP(C$6,Data!$A$3:$G$8,6,0))^(1/12)</f>
        <v>4951.9928690864253</v>
      </c>
      <c r="D60" s="59">
        <f>C60*VLOOKUP(C$6,Data!$A$4:$G$8,3,FALSE)</f>
        <v>2475.9964345432127</v>
      </c>
      <c r="E60" s="37">
        <f>VLOOKUP(C$6,Data!$A$3:$G$8,5,FALSE)+IF($B60=refund_inc_year,refund_inc,0)</f>
        <v>7.0000000000000007E-2</v>
      </c>
      <c r="F60" s="58">
        <f t="shared" si="3"/>
        <v>346.63950083604982</v>
      </c>
      <c r="G60" s="75">
        <f>F60*VLOOKUP(C$6,Data!$A$4:$G$8,2,FALSE)</f>
        <v>1733.1975041802491</v>
      </c>
      <c r="H60" s="75">
        <f t="shared" si="4"/>
        <v>742.79893036296357</v>
      </c>
      <c r="I60" s="11">
        <f>I59*(1+VLOOKUP(I$6,Data!$A$3:$G$8,6,0))^(1/12)</f>
        <v>9443.416604562537</v>
      </c>
      <c r="J60" s="59">
        <f>I60*VLOOKUP(I$6,Data!$A$4:$G$8,3,FALSE)</f>
        <v>2833.024981368761</v>
      </c>
      <c r="K60" s="37">
        <f>VLOOKUP(I$6,Data!$A$3:$G$8,5,FALSE)+IF($B60=refund_inc_year,refund_inc,0)</f>
        <v>0.06</v>
      </c>
      <c r="L60" s="58">
        <f t="shared" si="5"/>
        <v>566.60499627375225</v>
      </c>
      <c r="M60" s="75">
        <f>L60*VLOOKUP(I$6,Data!$A$4:$G$8,2,FALSE)</f>
        <v>3399.6299776425135</v>
      </c>
      <c r="N60" s="75">
        <f t="shared" si="6"/>
        <v>-566.60499627375248</v>
      </c>
      <c r="O60" s="11">
        <f>O59*(1+VLOOKUP(O$6,Data!$A$3:$G$8,6,0))^(1/12)</f>
        <v>9494.589854264017</v>
      </c>
      <c r="P60" s="59">
        <f>O60*VLOOKUP(O$6,Data!$A$4:$G$8,3,FALSE)</f>
        <v>9494.589854264017</v>
      </c>
      <c r="Q60" s="37">
        <f>VLOOKUP(O$6,Data!$A$3:$G$8,5,FALSE)+IF($B60=refund_inc_year,refund_inc,0)</f>
        <v>0.05</v>
      </c>
      <c r="R60" s="58">
        <f t="shared" si="7"/>
        <v>474.7294927132009</v>
      </c>
      <c r="S60" s="75">
        <f>R60*VLOOKUP(O$6,Data!$A$4:$G$8,2,FALSE)</f>
        <v>3560.4711953490068</v>
      </c>
      <c r="T60" s="75">
        <f t="shared" si="8"/>
        <v>5934.1186589150102</v>
      </c>
      <c r="U60" s="11">
        <f>U59*(1+VLOOKUP(U$6,Data!$A$3:$G$8,6,0))^(1/12)</f>
        <v>11554.650027868331</v>
      </c>
      <c r="V60" s="59">
        <f>U60*VLOOKUP(U$6,Data!$A$4:$G$8,3,FALSE)</f>
        <v>28886.625069670827</v>
      </c>
      <c r="W60" s="37">
        <f>VLOOKUP(U$6,Data!$A$3:$G$8,5,FALSE)+IF($B60=refund_inc_year,refund_inc,0)</f>
        <v>7.0000000000000007E-2</v>
      </c>
      <c r="X60" s="58">
        <f t="shared" si="9"/>
        <v>808.82550195078318</v>
      </c>
      <c r="Y60" s="75">
        <f>X60*VLOOKUP(U$6,Data!$A$4:$G$8,2,FALSE)</f>
        <v>6875.0167665816571</v>
      </c>
      <c r="Z60" s="75">
        <f t="shared" si="10"/>
        <v>22011.608303089168</v>
      </c>
      <c r="AA60" s="11">
        <f>AA59*(1+VLOOKUP(AA$6,Data!$A$3:$G$8,6,0))^(1/12)</f>
        <v>11305.054536741027</v>
      </c>
      <c r="AB60" s="59">
        <f>AA60*VLOOKUP(AA$6,Data!$A$4:$G$8,3,FALSE)</f>
        <v>31088.899976037825</v>
      </c>
      <c r="AC60" s="37">
        <f>VLOOKUP(AA$6,Data!$A$3:$G$8,5,FALSE)+IF($B60=refund_inc_year,refund_inc,0)</f>
        <v>0.08</v>
      </c>
      <c r="AD60" s="58">
        <f t="shared" si="11"/>
        <v>904.40436293928212</v>
      </c>
      <c r="AE60" s="75">
        <f>AD60*VLOOKUP(AA$6,Data!$A$4:$G$8,2,FALSE)</f>
        <v>9044.0436293928215</v>
      </c>
      <c r="AF60" s="75">
        <f t="shared" si="12"/>
        <v>22044.856346645003</v>
      </c>
      <c r="AG60" s="61">
        <f t="shared" si="13"/>
        <v>50166.77724273839</v>
      </c>
      <c r="AH60" s="60">
        <f>'Combined Admin'!D59</f>
        <v>17500</v>
      </c>
      <c r="AI60" s="60">
        <f t="shared" si="16"/>
        <v>0</v>
      </c>
      <c r="AJ60" s="60">
        <f t="shared" si="14"/>
        <v>17500</v>
      </c>
      <c r="AK60" s="60">
        <f t="shared" si="15"/>
        <v>32666.77724273839</v>
      </c>
      <c r="AL60" s="62">
        <f t="shared" si="17"/>
        <v>2028927.5715938245</v>
      </c>
    </row>
    <row r="61" spans="1:38" x14ac:dyDescent="0.25">
      <c r="A61" s="2">
        <v>54</v>
      </c>
      <c r="B61" s="36">
        <f t="shared" si="2"/>
        <v>5</v>
      </c>
      <c r="C61" s="11">
        <f>C60*(1+VLOOKUP(C$6,Data!$A$3:$G$8,6,0))^(1/12)</f>
        <v>4960.171487916251</v>
      </c>
      <c r="D61" s="59">
        <f>C61*VLOOKUP(C$6,Data!$A$4:$G$8,3,FALSE)</f>
        <v>2480.0857439581255</v>
      </c>
      <c r="E61" s="37">
        <f>VLOOKUP(C$6,Data!$A$3:$G$8,5,FALSE)+IF($B61=refund_inc_year,refund_inc,0)</f>
        <v>7.0000000000000007E-2</v>
      </c>
      <c r="F61" s="58">
        <f t="shared" si="3"/>
        <v>347.21200415413762</v>
      </c>
      <c r="G61" s="75">
        <f>F61*VLOOKUP(C$6,Data!$A$4:$G$8,2,FALSE)</f>
        <v>1736.060020770688</v>
      </c>
      <c r="H61" s="75">
        <f t="shared" si="4"/>
        <v>744.02572318743751</v>
      </c>
      <c r="I61" s="11">
        <f>I60*(1+VLOOKUP(I$6,Data!$A$3:$G$8,6,0))^(1/12)</f>
        <v>9451.2502785656707</v>
      </c>
      <c r="J61" s="59">
        <f>I61*VLOOKUP(I$6,Data!$A$4:$G$8,3,FALSE)</f>
        <v>2835.375083569701</v>
      </c>
      <c r="K61" s="37">
        <f>VLOOKUP(I$6,Data!$A$3:$G$8,5,FALSE)+IF($B61=refund_inc_year,refund_inc,0)</f>
        <v>0.06</v>
      </c>
      <c r="L61" s="58">
        <f t="shared" si="5"/>
        <v>567.07501671394027</v>
      </c>
      <c r="M61" s="75">
        <f>L61*VLOOKUP(I$6,Data!$A$4:$G$8,2,FALSE)</f>
        <v>3402.4501002836414</v>
      </c>
      <c r="N61" s="75">
        <f t="shared" si="6"/>
        <v>-567.07501671394039</v>
      </c>
      <c r="O61" s="11">
        <f>O60*(1+VLOOKUP(O$6,Data!$A$3:$G$8,6,0))^(1/12)</f>
        <v>9533.27198860526</v>
      </c>
      <c r="P61" s="59">
        <f>O61*VLOOKUP(O$6,Data!$A$4:$G$8,3,FALSE)</f>
        <v>9533.27198860526</v>
      </c>
      <c r="Q61" s="37">
        <f>VLOOKUP(O$6,Data!$A$3:$G$8,5,FALSE)+IF($B61=refund_inc_year,refund_inc,0)</f>
        <v>0.05</v>
      </c>
      <c r="R61" s="58">
        <f t="shared" si="7"/>
        <v>476.66359943026305</v>
      </c>
      <c r="S61" s="75">
        <f>R61*VLOOKUP(O$6,Data!$A$4:$G$8,2,FALSE)</f>
        <v>3574.9769957269727</v>
      </c>
      <c r="T61" s="75">
        <f t="shared" si="8"/>
        <v>5958.2949928782873</v>
      </c>
      <c r="U61" s="11">
        <f>U60*(1+VLOOKUP(U$6,Data!$A$3:$G$8,6,0))^(1/12)</f>
        <v>11573.733471804589</v>
      </c>
      <c r="V61" s="59">
        <f>U61*VLOOKUP(U$6,Data!$A$4:$G$8,3,FALSE)</f>
        <v>28934.333679511474</v>
      </c>
      <c r="W61" s="37">
        <f>VLOOKUP(U$6,Data!$A$3:$G$8,5,FALSE)+IF($B61=refund_inc_year,refund_inc,0)</f>
        <v>7.0000000000000007E-2</v>
      </c>
      <c r="X61" s="58">
        <f t="shared" si="9"/>
        <v>810.16134302632133</v>
      </c>
      <c r="Y61" s="75">
        <f>X61*VLOOKUP(U$6,Data!$A$4:$G$8,2,FALSE)</f>
        <v>6886.3714157237309</v>
      </c>
      <c r="Z61" s="75">
        <f t="shared" si="10"/>
        <v>22047.962263787744</v>
      </c>
      <c r="AA61" s="11">
        <f>AA60*(1+VLOOKUP(AA$6,Data!$A$3:$G$8,6,0))^(1/12)</f>
        <v>11332.935851019236</v>
      </c>
      <c r="AB61" s="59">
        <f>AA61*VLOOKUP(AA$6,Data!$A$4:$G$8,3,FALSE)</f>
        <v>31165.573590302898</v>
      </c>
      <c r="AC61" s="37">
        <f>VLOOKUP(AA$6,Data!$A$3:$G$8,5,FALSE)+IF($B61=refund_inc_year,refund_inc,0)</f>
        <v>0.08</v>
      </c>
      <c r="AD61" s="58">
        <f t="shared" si="11"/>
        <v>906.63486808153891</v>
      </c>
      <c r="AE61" s="75">
        <f>AD61*VLOOKUP(AA$6,Data!$A$4:$G$8,2,FALSE)</f>
        <v>9066.3486808153884</v>
      </c>
      <c r="AF61" s="75">
        <f t="shared" si="12"/>
        <v>22099.224909487508</v>
      </c>
      <c r="AG61" s="61">
        <f t="shared" si="13"/>
        <v>50282.432872627032</v>
      </c>
      <c r="AH61" s="60">
        <f>'Combined Admin'!D60</f>
        <v>17500</v>
      </c>
      <c r="AI61" s="60">
        <f t="shared" si="16"/>
        <v>0</v>
      </c>
      <c r="AJ61" s="60">
        <f t="shared" si="14"/>
        <v>17500</v>
      </c>
      <c r="AK61" s="60">
        <f t="shared" si="15"/>
        <v>32782.432872627032</v>
      </c>
      <c r="AL61" s="62">
        <f t="shared" si="17"/>
        <v>2008525.4972275237</v>
      </c>
    </row>
    <row r="62" spans="1:38" x14ac:dyDescent="0.25">
      <c r="A62" s="2">
        <v>55</v>
      </c>
      <c r="B62" s="36">
        <f t="shared" si="2"/>
        <v>5</v>
      </c>
      <c r="C62" s="11">
        <f>C61*(1+VLOOKUP(C$6,Data!$A$3:$G$8,6,0))^(1/12)</f>
        <v>4968.3636144000111</v>
      </c>
      <c r="D62" s="59">
        <f>C62*VLOOKUP(C$6,Data!$A$4:$G$8,3,FALSE)</f>
        <v>2484.1818072000056</v>
      </c>
      <c r="E62" s="37">
        <f>VLOOKUP(C$6,Data!$A$3:$G$8,5,FALSE)+IF($B62=refund_inc_year,refund_inc,0)</f>
        <v>7.0000000000000007E-2</v>
      </c>
      <c r="F62" s="58">
        <f t="shared" si="3"/>
        <v>347.78545300800079</v>
      </c>
      <c r="G62" s="75">
        <f>F62*VLOOKUP(C$6,Data!$A$4:$G$8,2,FALSE)</f>
        <v>1738.9272650400039</v>
      </c>
      <c r="H62" s="75">
        <f t="shared" si="4"/>
        <v>745.25454216000162</v>
      </c>
      <c r="I62" s="11">
        <f>I61*(1+VLOOKUP(I$6,Data!$A$3:$G$8,6,0))^(1/12)</f>
        <v>9459.0904508999665</v>
      </c>
      <c r="J62" s="59">
        <f>I62*VLOOKUP(I$6,Data!$A$4:$G$8,3,FALSE)</f>
        <v>2837.72713526999</v>
      </c>
      <c r="K62" s="37">
        <f>VLOOKUP(I$6,Data!$A$3:$G$8,5,FALSE)+IF($B62=refund_inc_year,refund_inc,0)</f>
        <v>0.06</v>
      </c>
      <c r="L62" s="58">
        <f t="shared" si="5"/>
        <v>567.54542705399797</v>
      </c>
      <c r="M62" s="75">
        <f>L62*VLOOKUP(I$6,Data!$A$4:$G$8,2,FALSE)</f>
        <v>3405.2725623239876</v>
      </c>
      <c r="N62" s="75">
        <f t="shared" si="6"/>
        <v>-567.54542705399763</v>
      </c>
      <c r="O62" s="11">
        <f>O61*(1+VLOOKUP(O$6,Data!$A$3:$G$8,6,0))^(1/12)</f>
        <v>9572.1117187500258</v>
      </c>
      <c r="P62" s="59">
        <f>O62*VLOOKUP(O$6,Data!$A$4:$G$8,3,FALSE)</f>
        <v>9572.1117187500258</v>
      </c>
      <c r="Q62" s="37">
        <f>VLOOKUP(O$6,Data!$A$3:$G$8,5,FALSE)+IF($B62=refund_inc_year,refund_inc,0)</f>
        <v>0.05</v>
      </c>
      <c r="R62" s="58">
        <f t="shared" si="7"/>
        <v>478.6055859375013</v>
      </c>
      <c r="S62" s="75">
        <f>R62*VLOOKUP(O$6,Data!$A$4:$G$8,2,FALSE)</f>
        <v>3589.5418945312599</v>
      </c>
      <c r="T62" s="75">
        <f t="shared" si="8"/>
        <v>5982.5698242187664</v>
      </c>
      <c r="U62" s="11">
        <f>U61*(1+VLOOKUP(U$6,Data!$A$3:$G$8,6,0))^(1/12)</f>
        <v>11592.848433600031</v>
      </c>
      <c r="V62" s="59">
        <f>U62*VLOOKUP(U$6,Data!$A$4:$G$8,3,FALSE)</f>
        <v>28982.121084000079</v>
      </c>
      <c r="W62" s="37">
        <f>VLOOKUP(U$6,Data!$A$3:$G$8,5,FALSE)+IF($B62=refund_inc_year,refund_inc,0)</f>
        <v>7.0000000000000007E-2</v>
      </c>
      <c r="X62" s="58">
        <f t="shared" si="9"/>
        <v>811.49939035200225</v>
      </c>
      <c r="Y62" s="75">
        <f>X62*VLOOKUP(U$6,Data!$A$4:$G$8,2,FALSE)</f>
        <v>6897.7448179920193</v>
      </c>
      <c r="Z62" s="75">
        <f t="shared" si="10"/>
        <v>22084.376266008061</v>
      </c>
      <c r="AA62" s="11">
        <f>AA61*(1+VLOOKUP(AA$6,Data!$A$3:$G$8,6,0))^(1/12)</f>
        <v>11360.885928140062</v>
      </c>
      <c r="AB62" s="59">
        <f>AA62*VLOOKUP(AA$6,Data!$A$4:$G$8,3,FALSE)</f>
        <v>31242.436302385169</v>
      </c>
      <c r="AC62" s="37">
        <f>VLOOKUP(AA$6,Data!$A$3:$G$8,5,FALSE)+IF($B62=refund_inc_year,refund_inc,0)</f>
        <v>0.08</v>
      </c>
      <c r="AD62" s="58">
        <f t="shared" si="11"/>
        <v>908.87087425120501</v>
      </c>
      <c r="AE62" s="75">
        <f>AD62*VLOOKUP(AA$6,Data!$A$4:$G$8,2,FALSE)</f>
        <v>9088.7087425120499</v>
      </c>
      <c r="AF62" s="75">
        <f t="shared" si="12"/>
        <v>22153.727559873121</v>
      </c>
      <c r="AG62" s="61">
        <f t="shared" si="13"/>
        <v>50398.382765205955</v>
      </c>
      <c r="AH62" s="60">
        <f>'Combined Admin'!D61</f>
        <v>17500</v>
      </c>
      <c r="AI62" s="60">
        <f t="shared" si="16"/>
        <v>0</v>
      </c>
      <c r="AJ62" s="60">
        <f t="shared" si="14"/>
        <v>17500</v>
      </c>
      <c r="AK62" s="60">
        <f t="shared" si="15"/>
        <v>32898.382765205955</v>
      </c>
      <c r="AL62" s="62">
        <f t="shared" si="17"/>
        <v>1987884.4383438623</v>
      </c>
    </row>
    <row r="63" spans="1:38" x14ac:dyDescent="0.25">
      <c r="A63" s="2">
        <v>56</v>
      </c>
      <c r="B63" s="36">
        <f t="shared" si="2"/>
        <v>5</v>
      </c>
      <c r="C63" s="11">
        <f>C62*(1+VLOOKUP(C$6,Data!$A$3:$G$8,6,0))^(1/12)</f>
        <v>4976.569270846695</v>
      </c>
      <c r="D63" s="59">
        <f>C63*VLOOKUP(C$6,Data!$A$4:$G$8,3,FALSE)</f>
        <v>2488.2846354233475</v>
      </c>
      <c r="E63" s="37">
        <f>VLOOKUP(C$6,Data!$A$3:$G$8,5,FALSE)+IF($B63=refund_inc_year,refund_inc,0)</f>
        <v>7.0000000000000007E-2</v>
      </c>
      <c r="F63" s="58">
        <f t="shared" si="3"/>
        <v>348.35984895926867</v>
      </c>
      <c r="G63" s="75">
        <f>F63*VLOOKUP(C$6,Data!$A$4:$G$8,2,FALSE)</f>
        <v>1741.7992447963434</v>
      </c>
      <c r="H63" s="75">
        <f t="shared" si="4"/>
        <v>746.48539062700411</v>
      </c>
      <c r="I63" s="11">
        <f>I62*(1+VLOOKUP(I$6,Data!$A$3:$G$8,6,0))^(1/12)</f>
        <v>9466.9371269560361</v>
      </c>
      <c r="J63" s="59">
        <f>I63*VLOOKUP(I$6,Data!$A$4:$G$8,3,FALSE)</f>
        <v>2840.0811380868108</v>
      </c>
      <c r="K63" s="37">
        <f>VLOOKUP(I$6,Data!$A$3:$G$8,5,FALSE)+IF($B63=refund_inc_year,refund_inc,0)</f>
        <v>0.06</v>
      </c>
      <c r="L63" s="58">
        <f t="shared" si="5"/>
        <v>568.01622761736212</v>
      </c>
      <c r="M63" s="75">
        <f>L63*VLOOKUP(I$6,Data!$A$4:$G$8,2,FALSE)</f>
        <v>3408.0973657041727</v>
      </c>
      <c r="N63" s="75">
        <f t="shared" si="6"/>
        <v>-568.01622761736189</v>
      </c>
      <c r="O63" s="11">
        <f>O62*(1+VLOOKUP(O$6,Data!$A$3:$G$8,6,0))^(1/12)</f>
        <v>9611.109686763124</v>
      </c>
      <c r="P63" s="59">
        <f>O63*VLOOKUP(O$6,Data!$A$4:$G$8,3,FALSE)</f>
        <v>9611.109686763124</v>
      </c>
      <c r="Q63" s="37">
        <f>VLOOKUP(O$6,Data!$A$3:$G$8,5,FALSE)+IF($B63=refund_inc_year,refund_inc,0)</f>
        <v>0.05</v>
      </c>
      <c r="R63" s="58">
        <f t="shared" si="7"/>
        <v>480.55548433815625</v>
      </c>
      <c r="S63" s="75">
        <f>R63*VLOOKUP(O$6,Data!$A$4:$G$8,2,FALSE)</f>
        <v>3604.166132536172</v>
      </c>
      <c r="T63" s="75">
        <f t="shared" si="8"/>
        <v>6006.9435542269521</v>
      </c>
      <c r="U63" s="11">
        <f>U62*(1+VLOOKUP(U$6,Data!$A$3:$G$8,6,0))^(1/12)</f>
        <v>11611.994965308961</v>
      </c>
      <c r="V63" s="59">
        <f>U63*VLOOKUP(U$6,Data!$A$4:$G$8,3,FALSE)</f>
        <v>29029.9874132724</v>
      </c>
      <c r="W63" s="37">
        <f>VLOOKUP(U$6,Data!$A$3:$G$8,5,FALSE)+IF($B63=refund_inc_year,refund_inc,0)</f>
        <v>7.0000000000000007E-2</v>
      </c>
      <c r="X63" s="58">
        <f t="shared" si="9"/>
        <v>812.83964757162732</v>
      </c>
      <c r="Y63" s="75">
        <f>X63*VLOOKUP(U$6,Data!$A$4:$G$8,2,FALSE)</f>
        <v>6909.1370043588322</v>
      </c>
      <c r="Z63" s="75">
        <f t="shared" si="10"/>
        <v>22120.850408913568</v>
      </c>
      <c r="AA63" s="11">
        <f>AA62*(1+VLOOKUP(AA$6,Data!$A$3:$G$8,6,0))^(1/12)</f>
        <v>11388.904937691224</v>
      </c>
      <c r="AB63" s="59">
        <f>AA63*VLOOKUP(AA$6,Data!$A$4:$G$8,3,FALSE)</f>
        <v>31319.488578650868</v>
      </c>
      <c r="AC63" s="37">
        <f>VLOOKUP(AA$6,Data!$A$3:$G$8,5,FALSE)+IF($B63=refund_inc_year,refund_inc,0)</f>
        <v>0.08</v>
      </c>
      <c r="AD63" s="58">
        <f t="shared" si="11"/>
        <v>911.11239501529792</v>
      </c>
      <c r="AE63" s="75">
        <f>AD63*VLOOKUP(AA$6,Data!$A$4:$G$8,2,FALSE)</f>
        <v>9111.1239501529799</v>
      </c>
      <c r="AF63" s="75">
        <f t="shared" si="12"/>
        <v>22208.364628497889</v>
      </c>
      <c r="AG63" s="61">
        <f t="shared" si="13"/>
        <v>50514.627754648056</v>
      </c>
      <c r="AH63" s="60">
        <f>'Combined Admin'!D62</f>
        <v>17500</v>
      </c>
      <c r="AI63" s="60">
        <f t="shared" si="16"/>
        <v>0</v>
      </c>
      <c r="AJ63" s="60">
        <f t="shared" si="14"/>
        <v>17500</v>
      </c>
      <c r="AK63" s="60">
        <f t="shared" si="15"/>
        <v>33014.627754648056</v>
      </c>
      <c r="AL63" s="62">
        <f t="shared" si="17"/>
        <v>1967002.6560380945</v>
      </c>
    </row>
    <row r="64" spans="1:38" x14ac:dyDescent="0.25">
      <c r="A64" s="2">
        <v>57</v>
      </c>
      <c r="B64" s="36">
        <f t="shared" si="2"/>
        <v>5</v>
      </c>
      <c r="C64" s="11">
        <f>C63*(1+VLOOKUP(C$6,Data!$A$3:$G$8,6,0))^(1/12)</f>
        <v>4984.7884796021362</v>
      </c>
      <c r="D64" s="59">
        <f>C64*VLOOKUP(C$6,Data!$A$4:$G$8,3,FALSE)</f>
        <v>2492.3942398010681</v>
      </c>
      <c r="E64" s="37">
        <f>VLOOKUP(C$6,Data!$A$3:$G$8,5,FALSE)+IF($B64=refund_inc_year,refund_inc,0)</f>
        <v>7.0000000000000007E-2</v>
      </c>
      <c r="F64" s="58">
        <f t="shared" si="3"/>
        <v>348.93519357214956</v>
      </c>
      <c r="G64" s="75">
        <f>F64*VLOOKUP(C$6,Data!$A$4:$G$8,2,FALSE)</f>
        <v>1744.6759678607477</v>
      </c>
      <c r="H64" s="75">
        <f t="shared" si="4"/>
        <v>747.71827194032039</v>
      </c>
      <c r="I64" s="11">
        <f>I63*(1+VLOOKUP(I$6,Data!$A$3:$G$8,6,0))^(1/12)</f>
        <v>9474.7903121289655</v>
      </c>
      <c r="J64" s="59">
        <f>I64*VLOOKUP(I$6,Data!$A$4:$G$8,3,FALSE)</f>
        <v>2842.4370936386895</v>
      </c>
      <c r="K64" s="37">
        <f>VLOOKUP(I$6,Data!$A$3:$G$8,5,FALSE)+IF($B64=refund_inc_year,refund_inc,0)</f>
        <v>0.06</v>
      </c>
      <c r="L64" s="58">
        <f t="shared" si="5"/>
        <v>568.48741872773792</v>
      </c>
      <c r="M64" s="75">
        <f>L64*VLOOKUP(I$6,Data!$A$4:$G$8,2,FALSE)</f>
        <v>3410.9245123664277</v>
      </c>
      <c r="N64" s="75">
        <f t="shared" si="6"/>
        <v>-568.48741872773826</v>
      </c>
      <c r="O64" s="11">
        <f>O63*(1+VLOOKUP(O$6,Data!$A$3:$G$8,6,0))^(1/12)</f>
        <v>9650.2665373252185</v>
      </c>
      <c r="P64" s="59">
        <f>O64*VLOOKUP(O$6,Data!$A$4:$G$8,3,FALSE)</f>
        <v>9650.2665373252185</v>
      </c>
      <c r="Q64" s="37">
        <f>VLOOKUP(O$6,Data!$A$3:$G$8,5,FALSE)+IF($B64=refund_inc_year,refund_inc,0)</f>
        <v>0.05</v>
      </c>
      <c r="R64" s="58">
        <f t="shared" si="7"/>
        <v>482.51332686626097</v>
      </c>
      <c r="S64" s="75">
        <f>R64*VLOOKUP(O$6,Data!$A$4:$G$8,2,FALSE)</f>
        <v>3618.8499514969571</v>
      </c>
      <c r="T64" s="75">
        <f t="shared" si="8"/>
        <v>6031.4165858282613</v>
      </c>
      <c r="U64" s="11">
        <f>U63*(1+VLOOKUP(U$6,Data!$A$3:$G$8,6,0))^(1/12)</f>
        <v>11631.173119071656</v>
      </c>
      <c r="V64" s="59">
        <f>U64*VLOOKUP(U$6,Data!$A$4:$G$8,3,FALSE)</f>
        <v>29077.932797679139</v>
      </c>
      <c r="W64" s="37">
        <f>VLOOKUP(U$6,Data!$A$3:$G$8,5,FALSE)+IF($B64=refund_inc_year,refund_inc,0)</f>
        <v>7.0000000000000007E-2</v>
      </c>
      <c r="X64" s="58">
        <f t="shared" si="9"/>
        <v>814.18211833501607</v>
      </c>
      <c r="Y64" s="75">
        <f>X64*VLOOKUP(U$6,Data!$A$4:$G$8,2,FALSE)</f>
        <v>6920.5480058476369</v>
      </c>
      <c r="Z64" s="75">
        <f t="shared" si="10"/>
        <v>22157.3847918315</v>
      </c>
      <c r="AA64" s="11">
        <f>AA63*(1+VLOOKUP(AA$6,Data!$A$3:$G$8,6,0))^(1/12)</f>
        <v>11416.993049678693</v>
      </c>
      <c r="AB64" s="59">
        <f>AA64*VLOOKUP(AA$6,Data!$A$4:$G$8,3,FALSE)</f>
        <v>31396.730886616406</v>
      </c>
      <c r="AC64" s="37">
        <f>VLOOKUP(AA$6,Data!$A$3:$G$8,5,FALSE)+IF($B64=refund_inc_year,refund_inc,0)</f>
        <v>0.08</v>
      </c>
      <c r="AD64" s="58">
        <f t="shared" si="11"/>
        <v>913.35944397429546</v>
      </c>
      <c r="AE64" s="75">
        <f>AD64*VLOOKUP(AA$6,Data!$A$4:$G$8,2,FALSE)</f>
        <v>9133.5944397429539</v>
      </c>
      <c r="AF64" s="75">
        <f t="shared" si="12"/>
        <v>22263.136446873454</v>
      </c>
      <c r="AG64" s="61">
        <f t="shared" si="13"/>
        <v>50631.168677745794</v>
      </c>
      <c r="AH64" s="60">
        <f>'Combined Admin'!D63</f>
        <v>17500</v>
      </c>
      <c r="AI64" s="60">
        <f t="shared" si="16"/>
        <v>0</v>
      </c>
      <c r="AJ64" s="60">
        <f t="shared" si="14"/>
        <v>17500</v>
      </c>
      <c r="AK64" s="60">
        <f t="shared" si="15"/>
        <v>33131.168677745794</v>
      </c>
      <c r="AL64" s="62">
        <f t="shared" si="17"/>
        <v>1945878.4000597636</v>
      </c>
    </row>
    <row r="65" spans="1:38" x14ac:dyDescent="0.25">
      <c r="A65" s="2">
        <v>58</v>
      </c>
      <c r="B65" s="36">
        <f t="shared" si="2"/>
        <v>5</v>
      </c>
      <c r="C65" s="11">
        <f>C64*(1+VLOOKUP(C$6,Data!$A$3:$G$8,6,0))^(1/12)</f>
        <v>4993.0212630490742</v>
      </c>
      <c r="D65" s="59">
        <f>C65*VLOOKUP(C$6,Data!$A$4:$G$8,3,FALSE)</f>
        <v>2496.5106315245371</v>
      </c>
      <c r="E65" s="37">
        <f>VLOOKUP(C$6,Data!$A$3:$G$8,5,FALSE)+IF($B65=refund_inc_year,refund_inc,0)</f>
        <v>7.0000000000000007E-2</v>
      </c>
      <c r="F65" s="58">
        <f t="shared" si="3"/>
        <v>349.51148841343525</v>
      </c>
      <c r="G65" s="75">
        <f>F65*VLOOKUP(C$6,Data!$A$4:$G$8,2,FALSE)</f>
        <v>1747.5574420671762</v>
      </c>
      <c r="H65" s="75">
        <f t="shared" si="4"/>
        <v>748.95318945736085</v>
      </c>
      <c r="I65" s="11">
        <f>I64*(1+VLOOKUP(I$6,Data!$A$3:$G$8,6,0))^(1/12)</f>
        <v>9482.6500118183139</v>
      </c>
      <c r="J65" s="59">
        <f>I65*VLOOKUP(I$6,Data!$A$4:$G$8,3,FALSE)</f>
        <v>2844.7950035454942</v>
      </c>
      <c r="K65" s="37">
        <f>VLOOKUP(I$6,Data!$A$3:$G$8,5,FALSE)+IF($B65=refund_inc_year,refund_inc,0)</f>
        <v>0.06</v>
      </c>
      <c r="L65" s="58">
        <f t="shared" si="5"/>
        <v>568.95900070909886</v>
      </c>
      <c r="M65" s="75">
        <f>L65*VLOOKUP(I$6,Data!$A$4:$G$8,2,FALSE)</f>
        <v>3413.7540042545934</v>
      </c>
      <c r="N65" s="75">
        <f t="shared" si="6"/>
        <v>-568.9590007090992</v>
      </c>
      <c r="O65" s="11">
        <f>O64*(1+VLOOKUP(O$6,Data!$A$3:$G$8,6,0))^(1/12)</f>
        <v>9689.5829177434807</v>
      </c>
      <c r="P65" s="59">
        <f>O65*VLOOKUP(O$6,Data!$A$4:$G$8,3,FALSE)</f>
        <v>9689.5829177434807</v>
      </c>
      <c r="Q65" s="37">
        <f>VLOOKUP(O$6,Data!$A$3:$G$8,5,FALSE)+IF($B65=refund_inc_year,refund_inc,0)</f>
        <v>0.05</v>
      </c>
      <c r="R65" s="58">
        <f t="shared" si="7"/>
        <v>484.47914588717407</v>
      </c>
      <c r="S65" s="75">
        <f>R65*VLOOKUP(O$6,Data!$A$4:$G$8,2,FALSE)</f>
        <v>3633.5935941538055</v>
      </c>
      <c r="T65" s="75">
        <f t="shared" si="8"/>
        <v>6055.9893235896752</v>
      </c>
      <c r="U65" s="11">
        <f>U64*(1+VLOOKUP(U$6,Data!$A$3:$G$8,6,0))^(1/12)</f>
        <v>11650.382947114513</v>
      </c>
      <c r="V65" s="59">
        <f>U65*VLOOKUP(U$6,Data!$A$4:$G$8,3,FALSE)</f>
        <v>29125.957367786283</v>
      </c>
      <c r="W65" s="37">
        <f>VLOOKUP(U$6,Data!$A$3:$G$8,5,FALSE)+IF($B65=refund_inc_year,refund_inc,0)</f>
        <v>7.0000000000000007E-2</v>
      </c>
      <c r="X65" s="58">
        <f t="shared" si="9"/>
        <v>815.52680629801591</v>
      </c>
      <c r="Y65" s="75">
        <f>X65*VLOOKUP(U$6,Data!$A$4:$G$8,2,FALSE)</f>
        <v>6931.9778535331352</v>
      </c>
      <c r="Z65" s="75">
        <f t="shared" si="10"/>
        <v>22193.979514253147</v>
      </c>
      <c r="AA65" s="11">
        <f>AA64*(1+VLOOKUP(AA$6,Data!$A$3:$G$8,6,0))^(1/12)</f>
        <v>11445.150434527717</v>
      </c>
      <c r="AB65" s="59">
        <f>AA65*VLOOKUP(AA$6,Data!$A$4:$G$8,3,FALSE)</f>
        <v>31474.163694951221</v>
      </c>
      <c r="AC65" s="37">
        <f>VLOOKUP(AA$6,Data!$A$3:$G$8,5,FALSE)+IF($B65=refund_inc_year,refund_inc,0)</f>
        <v>0.08</v>
      </c>
      <c r="AD65" s="58">
        <f t="shared" si="11"/>
        <v>915.61203476221738</v>
      </c>
      <c r="AE65" s="75">
        <f>AD65*VLOOKUP(AA$6,Data!$A$4:$G$8,2,FALSE)</f>
        <v>9156.1203476221744</v>
      </c>
      <c r="AF65" s="75">
        <f t="shared" si="12"/>
        <v>22318.043347329047</v>
      </c>
      <c r="AG65" s="61">
        <f t="shared" si="13"/>
        <v>50748.006373920129</v>
      </c>
      <c r="AH65" s="60">
        <f>'Combined Admin'!D64</f>
        <v>17500</v>
      </c>
      <c r="AI65" s="60">
        <f t="shared" si="16"/>
        <v>0</v>
      </c>
      <c r="AJ65" s="60">
        <f t="shared" si="14"/>
        <v>17500</v>
      </c>
      <c r="AK65" s="60">
        <f t="shared" si="15"/>
        <v>33248.006373920129</v>
      </c>
      <c r="AL65" s="62">
        <f t="shared" si="17"/>
        <v>1924509.9087414972</v>
      </c>
    </row>
    <row r="66" spans="1:38" x14ac:dyDescent="0.25">
      <c r="A66" s="2">
        <v>59</v>
      </c>
      <c r="B66" s="36">
        <f t="shared" si="2"/>
        <v>5</v>
      </c>
      <c r="C66" s="11">
        <f>C65*(1+VLOOKUP(C$6,Data!$A$3:$G$8,6,0))^(1/12)</f>
        <v>5001.2676436072161</v>
      </c>
      <c r="D66" s="59">
        <f>C66*VLOOKUP(C$6,Data!$A$4:$G$8,3,FALSE)</f>
        <v>2500.633821803608</v>
      </c>
      <c r="E66" s="37">
        <f>VLOOKUP(C$6,Data!$A$3:$G$8,5,FALSE)+IF($B66=refund_inc_year,refund_inc,0)</f>
        <v>7.0000000000000007E-2</v>
      </c>
      <c r="F66" s="58">
        <f t="shared" si="3"/>
        <v>350.08873505250517</v>
      </c>
      <c r="G66" s="75">
        <f>F66*VLOOKUP(C$6,Data!$A$4:$G$8,2,FALSE)</f>
        <v>1750.4436752625259</v>
      </c>
      <c r="H66" s="75">
        <f t="shared" si="4"/>
        <v>750.19014654108219</v>
      </c>
      <c r="I66" s="11">
        <f>I65*(1+VLOOKUP(I$6,Data!$A$3:$G$8,6,0))^(1/12)</f>
        <v>9490.5162314281224</v>
      </c>
      <c r="J66" s="59">
        <f>I66*VLOOKUP(I$6,Data!$A$4:$G$8,3,FALSE)</f>
        <v>2847.1548694284365</v>
      </c>
      <c r="K66" s="37">
        <f>VLOOKUP(I$6,Data!$A$3:$G$8,5,FALSE)+IF($B66=refund_inc_year,refund_inc,0)</f>
        <v>0.06</v>
      </c>
      <c r="L66" s="58">
        <f t="shared" si="5"/>
        <v>569.43097388568731</v>
      </c>
      <c r="M66" s="75">
        <f>L66*VLOOKUP(I$6,Data!$A$4:$G$8,2,FALSE)</f>
        <v>3416.5858433141238</v>
      </c>
      <c r="N66" s="75">
        <f t="shared" si="6"/>
        <v>-569.43097388568731</v>
      </c>
      <c r="O66" s="11">
        <f>O65*(1+VLOOKUP(O$6,Data!$A$3:$G$8,6,0))^(1/12)</f>
        <v>9729.0594779622916</v>
      </c>
      <c r="P66" s="59">
        <f>O66*VLOOKUP(O$6,Data!$A$4:$G$8,3,FALSE)</f>
        <v>9729.0594779622916</v>
      </c>
      <c r="Q66" s="37">
        <f>VLOOKUP(O$6,Data!$A$3:$G$8,5,FALSE)+IF($B66=refund_inc_year,refund_inc,0)</f>
        <v>0.05</v>
      </c>
      <c r="R66" s="58">
        <f t="shared" si="7"/>
        <v>486.45297389811458</v>
      </c>
      <c r="S66" s="75">
        <f>R66*VLOOKUP(O$6,Data!$A$4:$G$8,2,FALSE)</f>
        <v>3648.3973042358593</v>
      </c>
      <c r="T66" s="75">
        <f t="shared" si="8"/>
        <v>6080.6621737264322</v>
      </c>
      <c r="U66" s="11">
        <f>U65*(1+VLOOKUP(U$6,Data!$A$3:$G$8,6,0))^(1/12)</f>
        <v>11669.624501750177</v>
      </c>
      <c r="V66" s="59">
        <f>U66*VLOOKUP(U$6,Data!$A$4:$G$8,3,FALSE)</f>
        <v>29174.061254375443</v>
      </c>
      <c r="W66" s="37">
        <f>VLOOKUP(U$6,Data!$A$3:$G$8,5,FALSE)+IF($B66=refund_inc_year,refund_inc,0)</f>
        <v>7.0000000000000007E-2</v>
      </c>
      <c r="X66" s="58">
        <f t="shared" si="9"/>
        <v>816.87371512251241</v>
      </c>
      <c r="Y66" s="75">
        <f>X66*VLOOKUP(U$6,Data!$A$4:$G$8,2,FALSE)</f>
        <v>6943.4265785413554</v>
      </c>
      <c r="Z66" s="75">
        <f t="shared" si="10"/>
        <v>22230.634675834088</v>
      </c>
      <c r="AA66" s="11">
        <f>AA65*(1+VLOOKUP(AA$6,Data!$A$3:$G$8,6,0))^(1/12)</f>
        <v>11473.377263083861</v>
      </c>
      <c r="AB66" s="59">
        <f>AA66*VLOOKUP(AA$6,Data!$A$4:$G$8,3,FALSE)</f>
        <v>31551.787473480617</v>
      </c>
      <c r="AC66" s="37">
        <f>VLOOKUP(AA$6,Data!$A$3:$G$8,5,FALSE)+IF($B66=refund_inc_year,refund_inc,0)</f>
        <v>0.08</v>
      </c>
      <c r="AD66" s="58">
        <f t="shared" si="11"/>
        <v>917.87018104670892</v>
      </c>
      <c r="AE66" s="75">
        <f>AD66*VLOOKUP(AA$6,Data!$A$4:$G$8,2,FALSE)</f>
        <v>9178.7018104670897</v>
      </c>
      <c r="AF66" s="75">
        <f t="shared" si="12"/>
        <v>22373.085663013528</v>
      </c>
      <c r="AG66" s="61">
        <f t="shared" si="13"/>
        <v>50865.141685229442</v>
      </c>
      <c r="AH66" s="60">
        <f>'Combined Admin'!D65</f>
        <v>17500</v>
      </c>
      <c r="AI66" s="60">
        <f t="shared" si="16"/>
        <v>0</v>
      </c>
      <c r="AJ66" s="60">
        <f t="shared" si="14"/>
        <v>17500</v>
      </c>
      <c r="AK66" s="60">
        <f t="shared" si="15"/>
        <v>33365.141685229442</v>
      </c>
      <c r="AL66" s="62">
        <f t="shared" si="17"/>
        <v>1902895.4089273666</v>
      </c>
    </row>
    <row r="67" spans="1:38" x14ac:dyDescent="0.25">
      <c r="A67" s="2">
        <v>60</v>
      </c>
      <c r="B67" s="36">
        <f t="shared" si="2"/>
        <v>5</v>
      </c>
      <c r="C67" s="11">
        <f>C66*(1+VLOOKUP(C$6,Data!$A$3:$G$8,6,0))^(1/12)</f>
        <v>5009.5276437332968</v>
      </c>
      <c r="D67" s="59">
        <f>C67*VLOOKUP(C$6,Data!$A$4:$G$8,3,FALSE)</f>
        <v>2504.7638218666484</v>
      </c>
      <c r="E67" s="37">
        <f>VLOOKUP(C$6,Data!$A$3:$G$8,5,FALSE)+IF($B67=refund_inc_year,refund_inc,0)</f>
        <v>7.0000000000000007E-2</v>
      </c>
      <c r="F67" s="58">
        <f t="shared" si="3"/>
        <v>350.66693506133083</v>
      </c>
      <c r="G67" s="75">
        <f>F67*VLOOKUP(C$6,Data!$A$4:$G$8,2,FALSE)</f>
        <v>1753.3346753066542</v>
      </c>
      <c r="H67" s="75">
        <f t="shared" si="4"/>
        <v>751.42914655999425</v>
      </c>
      <c r="I67" s="11">
        <f>I66*(1+VLOOKUP(I$6,Data!$A$3:$G$8,6,0))^(1/12)</f>
        <v>9498.3889763669122</v>
      </c>
      <c r="J67" s="59">
        <f>I67*VLOOKUP(I$6,Data!$A$4:$G$8,3,FALSE)</f>
        <v>2849.5166929100737</v>
      </c>
      <c r="K67" s="37">
        <f>VLOOKUP(I$6,Data!$A$3:$G$8,5,FALSE)+IF($B67=refund_inc_year,refund_inc,0)</f>
        <v>0.06</v>
      </c>
      <c r="L67" s="58">
        <f t="shared" si="5"/>
        <v>569.90333858201473</v>
      </c>
      <c r="M67" s="75">
        <f>L67*VLOOKUP(I$6,Data!$A$4:$G$8,2,FALSE)</f>
        <v>3419.4200314920881</v>
      </c>
      <c r="N67" s="75">
        <f t="shared" si="6"/>
        <v>-569.90333858201438</v>
      </c>
      <c r="O67" s="11">
        <f>O66*(1+VLOOKUP(O$6,Data!$A$3:$G$8,6,0))^(1/12)</f>
        <v>9768.6968705739873</v>
      </c>
      <c r="P67" s="59">
        <f>O67*VLOOKUP(O$6,Data!$A$4:$G$8,3,FALSE)</f>
        <v>9768.6968705739873</v>
      </c>
      <c r="Q67" s="37">
        <f>VLOOKUP(O$6,Data!$A$3:$G$8,5,FALSE)+IF($B67=refund_inc_year,refund_inc,0)</f>
        <v>0.05</v>
      </c>
      <c r="R67" s="58">
        <f t="shared" si="7"/>
        <v>488.43484352869939</v>
      </c>
      <c r="S67" s="75">
        <f>R67*VLOOKUP(O$6,Data!$A$4:$G$8,2,FALSE)</f>
        <v>3663.2613264652455</v>
      </c>
      <c r="T67" s="75">
        <f t="shared" si="8"/>
        <v>6105.4355441087419</v>
      </c>
      <c r="U67" s="11">
        <f>U66*(1+VLOOKUP(U$6,Data!$A$3:$G$8,6,0))^(1/12)</f>
        <v>11688.897835377698</v>
      </c>
      <c r="V67" s="59">
        <f>U67*VLOOKUP(U$6,Data!$A$4:$G$8,3,FALSE)</f>
        <v>29222.244588444246</v>
      </c>
      <c r="W67" s="37">
        <f>VLOOKUP(U$6,Data!$A$3:$G$8,5,FALSE)+IF($B67=refund_inc_year,refund_inc,0)</f>
        <v>7.0000000000000007E-2</v>
      </c>
      <c r="X67" s="58">
        <f t="shared" si="9"/>
        <v>818.22284847643891</v>
      </c>
      <c r="Y67" s="75">
        <f>X67*VLOOKUP(U$6,Data!$A$4:$G$8,2,FALSE)</f>
        <v>6954.8942120497304</v>
      </c>
      <c r="Z67" s="75">
        <f t="shared" si="10"/>
        <v>22267.350376394515</v>
      </c>
      <c r="AA67" s="11">
        <f>AA66*(1+VLOOKUP(AA$6,Data!$A$3:$G$8,6,0))^(1/12)</f>
        <v>11501.673706614041</v>
      </c>
      <c r="AB67" s="59">
        <f>AA67*VLOOKUP(AA$6,Data!$A$4:$G$8,3,FALSE)</f>
        <v>31629.602693188615</v>
      </c>
      <c r="AC67" s="37">
        <f>VLOOKUP(AA$6,Data!$A$3:$G$8,5,FALSE)+IF($B67=refund_inc_year,refund_inc,0)</f>
        <v>0.08</v>
      </c>
      <c r="AD67" s="58">
        <f t="shared" si="11"/>
        <v>920.13389652912338</v>
      </c>
      <c r="AE67" s="75">
        <f>AD67*VLOOKUP(AA$6,Data!$A$4:$G$8,2,FALSE)</f>
        <v>9201.3389652912338</v>
      </c>
      <c r="AF67" s="75">
        <f t="shared" si="12"/>
        <v>22428.263727897382</v>
      </c>
      <c r="AG67" s="61">
        <f t="shared" si="13"/>
        <v>50982.575456378618</v>
      </c>
      <c r="AH67" s="60">
        <f>'Combined Admin'!D66</f>
        <v>17500</v>
      </c>
      <c r="AI67" s="60">
        <f t="shared" si="16"/>
        <v>0</v>
      </c>
      <c r="AJ67" s="60">
        <f t="shared" si="14"/>
        <v>17500</v>
      </c>
      <c r="AK67" s="60">
        <f t="shared" si="15"/>
        <v>33482.575456378618</v>
      </c>
      <c r="AL67" s="62">
        <f t="shared" si="17"/>
        <v>1881033.1159007996</v>
      </c>
    </row>
    <row r="68" spans="1:38" x14ac:dyDescent="0.25">
      <c r="A68" s="2">
        <v>61</v>
      </c>
      <c r="B68" s="36">
        <f t="shared" si="2"/>
        <v>6</v>
      </c>
      <c r="C68" s="11">
        <f>C67*(1+VLOOKUP(C$6,Data!$A$3:$G$8,6,0))^(1/12)</f>
        <v>5017.8012859211394</v>
      </c>
      <c r="D68" s="59">
        <f>C68*VLOOKUP(C$6,Data!$A$4:$G$8,3,FALSE)</f>
        <v>2508.9006429605697</v>
      </c>
      <c r="E68" s="37">
        <f>VLOOKUP(C$6,Data!$A$3:$G$8,5,FALSE)+IF($B68=refund_inc_year,refund_inc,0)</f>
        <v>7.0000000000000007E-2</v>
      </c>
      <c r="F68" s="58">
        <f t="shared" si="3"/>
        <v>351.24609001447982</v>
      </c>
      <c r="G68" s="75">
        <f>F68*VLOOKUP(C$6,Data!$A$4:$G$8,2,FALSE)</f>
        <v>1756.230450072399</v>
      </c>
      <c r="H68" s="75">
        <f t="shared" si="4"/>
        <v>752.67019288817073</v>
      </c>
      <c r="I68" s="11">
        <f>I67*(1+VLOOKUP(I$6,Data!$A$3:$G$8,6,0))^(1/12)</f>
        <v>9506.2682520476937</v>
      </c>
      <c r="J68" s="59">
        <f>I68*VLOOKUP(I$6,Data!$A$4:$G$8,3,FALSE)</f>
        <v>2851.8804756143081</v>
      </c>
      <c r="K68" s="37">
        <f>VLOOKUP(I$6,Data!$A$3:$G$8,5,FALSE)+IF($B68=refund_inc_year,refund_inc,0)</f>
        <v>0.06</v>
      </c>
      <c r="L68" s="58">
        <f t="shared" si="5"/>
        <v>570.37609512286156</v>
      </c>
      <c r="M68" s="75">
        <f>L68*VLOOKUP(I$6,Data!$A$4:$G$8,2,FALSE)</f>
        <v>3422.2565707371696</v>
      </c>
      <c r="N68" s="75">
        <f t="shared" si="6"/>
        <v>-570.37609512286144</v>
      </c>
      <c r="O68" s="11">
        <f>O67*(1+VLOOKUP(O$6,Data!$A$3:$G$8,6,0))^(1/12)</f>
        <v>9808.4957508296447</v>
      </c>
      <c r="P68" s="59">
        <f>O68*VLOOKUP(O$6,Data!$A$4:$G$8,3,FALSE)</f>
        <v>9808.4957508296447</v>
      </c>
      <c r="Q68" s="37">
        <f>VLOOKUP(O$6,Data!$A$3:$G$8,5,FALSE)+IF($B68=refund_inc_year,refund_inc,0)</f>
        <v>0.05</v>
      </c>
      <c r="R68" s="58">
        <f t="shared" si="7"/>
        <v>490.42478754148226</v>
      </c>
      <c r="S68" s="75">
        <f>R68*VLOOKUP(O$6,Data!$A$4:$G$8,2,FALSE)</f>
        <v>3678.185906561117</v>
      </c>
      <c r="T68" s="75">
        <f t="shared" si="8"/>
        <v>6130.3098442685277</v>
      </c>
      <c r="U68" s="11">
        <f>U67*(1+VLOOKUP(U$6,Data!$A$3:$G$8,6,0))^(1/12)</f>
        <v>11708.203000482665</v>
      </c>
      <c r="V68" s="59">
        <f>U68*VLOOKUP(U$6,Data!$A$4:$G$8,3,FALSE)</f>
        <v>29270.507501206663</v>
      </c>
      <c r="W68" s="37">
        <f>VLOOKUP(U$6,Data!$A$3:$G$8,5,FALSE)+IF($B68=refund_inc_year,refund_inc,0)</f>
        <v>7.0000000000000007E-2</v>
      </c>
      <c r="X68" s="58">
        <f t="shared" si="9"/>
        <v>819.57421003378658</v>
      </c>
      <c r="Y68" s="75">
        <f>X68*VLOOKUP(U$6,Data!$A$4:$G$8,2,FALSE)</f>
        <v>6966.380785287186</v>
      </c>
      <c r="Z68" s="75">
        <f t="shared" si="10"/>
        <v>22304.126715919476</v>
      </c>
      <c r="AA68" s="11">
        <f>AA67*(1+VLOOKUP(AA$6,Data!$A$3:$G$8,6,0))^(1/12)</f>
        <v>11530.039936807563</v>
      </c>
      <c r="AB68" s="59">
        <f>AA68*VLOOKUP(AA$6,Data!$A$4:$G$8,3,FALSE)</f>
        <v>31707.6098262208</v>
      </c>
      <c r="AC68" s="37">
        <f>VLOOKUP(AA$6,Data!$A$3:$G$8,5,FALSE)+IF($B68=refund_inc_year,refund_inc,0)</f>
        <v>0.08</v>
      </c>
      <c r="AD68" s="58">
        <f t="shared" si="11"/>
        <v>922.40319494460505</v>
      </c>
      <c r="AE68" s="75">
        <f>AD68*VLOOKUP(AA$6,Data!$A$4:$G$8,2,FALSE)</f>
        <v>9224.0319494460509</v>
      </c>
      <c r="AF68" s="75">
        <f t="shared" si="12"/>
        <v>22483.577876774747</v>
      </c>
      <c r="AG68" s="61">
        <f t="shared" si="13"/>
        <v>51100.308534728058</v>
      </c>
      <c r="AH68" s="60">
        <f>'Combined Admin'!D67</f>
        <v>17500</v>
      </c>
      <c r="AI68" s="60">
        <f t="shared" si="16"/>
        <v>0</v>
      </c>
      <c r="AJ68" s="60">
        <f t="shared" si="14"/>
        <v>17500</v>
      </c>
      <c r="AK68" s="60">
        <f t="shared" si="15"/>
        <v>33600.308534728058</v>
      </c>
      <c r="AL68" s="62">
        <f t="shared" si="17"/>
        <v>1858921.2333120527</v>
      </c>
    </row>
    <row r="69" spans="1:38" x14ac:dyDescent="0.25">
      <c r="A69" s="2">
        <v>62</v>
      </c>
      <c r="B69" s="36">
        <f t="shared" si="2"/>
        <v>6</v>
      </c>
      <c r="C69" s="11">
        <f>C68*(1+VLOOKUP(C$6,Data!$A$3:$G$8,6,0))^(1/12)</f>
        <v>5026.088592701718</v>
      </c>
      <c r="D69" s="59">
        <f>C69*VLOOKUP(C$6,Data!$A$4:$G$8,3,FALSE)</f>
        <v>2513.044296350859</v>
      </c>
      <c r="E69" s="37">
        <f>VLOOKUP(C$6,Data!$A$3:$G$8,5,FALSE)+IF($B69=refund_inc_year,refund_inc,0)</f>
        <v>7.0000000000000007E-2</v>
      </c>
      <c r="F69" s="58">
        <f t="shared" si="3"/>
        <v>351.82620148912031</v>
      </c>
      <c r="G69" s="75">
        <f>F69*VLOOKUP(C$6,Data!$A$4:$G$8,2,FALSE)</f>
        <v>1759.1310074456014</v>
      </c>
      <c r="H69" s="75">
        <f t="shared" si="4"/>
        <v>753.91328890525756</v>
      </c>
      <c r="I69" s="11">
        <f>I68*(1+VLOOKUP(I$6,Data!$A$3:$G$8,6,0))^(1/12)</f>
        <v>9514.1540638879669</v>
      </c>
      <c r="J69" s="59">
        <f>I69*VLOOKUP(I$6,Data!$A$4:$G$8,3,FALSE)</f>
        <v>2854.2462191663899</v>
      </c>
      <c r="K69" s="37">
        <f>VLOOKUP(I$6,Data!$A$3:$G$8,5,FALSE)+IF($B69=refund_inc_year,refund_inc,0)</f>
        <v>0.06</v>
      </c>
      <c r="L69" s="58">
        <f t="shared" si="5"/>
        <v>570.84924383327802</v>
      </c>
      <c r="M69" s="75">
        <f>L69*VLOOKUP(I$6,Data!$A$4:$G$8,2,FALSE)</f>
        <v>3425.0954629996681</v>
      </c>
      <c r="N69" s="75">
        <f t="shared" si="6"/>
        <v>-570.84924383327825</v>
      </c>
      <c r="O69" s="11">
        <f>O68*(1+VLOOKUP(O$6,Data!$A$3:$G$8,6,0))^(1/12)</f>
        <v>9848.4567766499131</v>
      </c>
      <c r="P69" s="59">
        <f>O69*VLOOKUP(O$6,Data!$A$4:$G$8,3,FALSE)</f>
        <v>9848.4567766499131</v>
      </c>
      <c r="Q69" s="37">
        <f>VLOOKUP(O$6,Data!$A$3:$G$8,5,FALSE)+IF($B69=refund_inc_year,refund_inc,0)</f>
        <v>0.05</v>
      </c>
      <c r="R69" s="58">
        <f t="shared" si="7"/>
        <v>492.4228388324957</v>
      </c>
      <c r="S69" s="75">
        <f>R69*VLOOKUP(O$6,Data!$A$4:$G$8,2,FALSE)</f>
        <v>3693.1712912437179</v>
      </c>
      <c r="T69" s="75">
        <f t="shared" si="8"/>
        <v>6155.2854854061952</v>
      </c>
      <c r="U69" s="11">
        <f>U68*(1+VLOOKUP(U$6,Data!$A$3:$G$8,6,0))^(1/12)</f>
        <v>11727.540049637348</v>
      </c>
      <c r="V69" s="59">
        <f>U69*VLOOKUP(U$6,Data!$A$4:$G$8,3,FALSE)</f>
        <v>29318.850124093369</v>
      </c>
      <c r="W69" s="37">
        <f>VLOOKUP(U$6,Data!$A$3:$G$8,5,FALSE)+IF($B69=refund_inc_year,refund_inc,0)</f>
        <v>7.0000000000000007E-2</v>
      </c>
      <c r="X69" s="58">
        <f t="shared" si="9"/>
        <v>820.92780347461439</v>
      </c>
      <c r="Y69" s="75">
        <f>X69*VLOOKUP(U$6,Data!$A$4:$G$8,2,FALSE)</f>
        <v>6977.8863295342226</v>
      </c>
      <c r="Z69" s="75">
        <f t="shared" si="10"/>
        <v>22340.963794559146</v>
      </c>
      <c r="AA69" s="11">
        <f>AA68*(1+VLOOKUP(AA$6,Data!$A$3:$G$8,6,0))^(1/12)</f>
        <v>11558.476125777166</v>
      </c>
      <c r="AB69" s="59">
        <f>AA69*VLOOKUP(AA$6,Data!$A$4:$G$8,3,FALSE)</f>
        <v>31785.809345887206</v>
      </c>
      <c r="AC69" s="37">
        <f>VLOOKUP(AA$6,Data!$A$3:$G$8,5,FALSE)+IF($B69=refund_inc_year,refund_inc,0)</f>
        <v>0.08</v>
      </c>
      <c r="AD69" s="58">
        <f t="shared" si="11"/>
        <v>924.67809006217328</v>
      </c>
      <c r="AE69" s="75">
        <f>AD69*VLOOKUP(AA$6,Data!$A$4:$G$8,2,FALSE)</f>
        <v>9246.7809006217321</v>
      </c>
      <c r="AF69" s="75">
        <f t="shared" si="12"/>
        <v>22539.028445265474</v>
      </c>
      <c r="AG69" s="61">
        <f t="shared" si="13"/>
        <v>51218.341770302795</v>
      </c>
      <c r="AH69" s="60">
        <f>'Combined Admin'!D68</f>
        <v>17500</v>
      </c>
      <c r="AI69" s="60">
        <f t="shared" si="16"/>
        <v>0</v>
      </c>
      <c r="AJ69" s="60">
        <f t="shared" si="14"/>
        <v>17500</v>
      </c>
      <c r="AK69" s="60">
        <f t="shared" si="15"/>
        <v>33718.341770302795</v>
      </c>
      <c r="AL69" s="62">
        <f t="shared" si="17"/>
        <v>1836557.9531052324</v>
      </c>
    </row>
    <row r="70" spans="1:38" x14ac:dyDescent="0.25">
      <c r="A70" s="2">
        <v>63</v>
      </c>
      <c r="B70" s="36">
        <f t="shared" si="2"/>
        <v>6</v>
      </c>
      <c r="C70" s="11">
        <f>C69*(1+VLOOKUP(C$6,Data!$A$3:$G$8,6,0))^(1/12)</f>
        <v>5034.3895866432185</v>
      </c>
      <c r="D70" s="59">
        <f>C70*VLOOKUP(C$6,Data!$A$4:$G$8,3,FALSE)</f>
        <v>2517.1947933216093</v>
      </c>
      <c r="E70" s="37">
        <f>VLOOKUP(C$6,Data!$A$3:$G$8,5,FALSE)+IF($B70=refund_inc_year,refund_inc,0)</f>
        <v>7.0000000000000007E-2</v>
      </c>
      <c r="F70" s="58">
        <f t="shared" si="3"/>
        <v>352.40727106502533</v>
      </c>
      <c r="G70" s="75">
        <f>F70*VLOOKUP(C$6,Data!$A$4:$G$8,2,FALSE)</f>
        <v>1762.0363553251266</v>
      </c>
      <c r="H70" s="75">
        <f t="shared" si="4"/>
        <v>755.15843799648269</v>
      </c>
      <c r="I70" s="11">
        <f>I69*(1+VLOOKUP(I$6,Data!$A$3:$G$8,6,0))^(1/12)</f>
        <v>9522.0464173097225</v>
      </c>
      <c r="J70" s="59">
        <f>I70*VLOOKUP(I$6,Data!$A$4:$G$8,3,FALSE)</f>
        <v>2856.6139251929167</v>
      </c>
      <c r="K70" s="37">
        <f>VLOOKUP(I$6,Data!$A$3:$G$8,5,FALSE)+IF($B70=refund_inc_year,refund_inc,0)</f>
        <v>0.06</v>
      </c>
      <c r="L70" s="58">
        <f t="shared" si="5"/>
        <v>571.32278503858333</v>
      </c>
      <c r="M70" s="75">
        <f>L70*VLOOKUP(I$6,Data!$A$4:$G$8,2,FALSE)</f>
        <v>3427.9367102315</v>
      </c>
      <c r="N70" s="75">
        <f t="shared" si="6"/>
        <v>-571.32278503858333</v>
      </c>
      <c r="O70" s="11">
        <f>O69*(1+VLOOKUP(O$6,Data!$A$3:$G$8,6,0))^(1/12)</f>
        <v>9888.5806086358953</v>
      </c>
      <c r="P70" s="59">
        <f>O70*VLOOKUP(O$6,Data!$A$4:$G$8,3,FALSE)</f>
        <v>9888.5806086358953</v>
      </c>
      <c r="Q70" s="37">
        <f>VLOOKUP(O$6,Data!$A$3:$G$8,5,FALSE)+IF($B70=refund_inc_year,refund_inc,0)</f>
        <v>0.05</v>
      </c>
      <c r="R70" s="58">
        <f t="shared" si="7"/>
        <v>494.42903043179479</v>
      </c>
      <c r="S70" s="75">
        <f>R70*VLOOKUP(O$6,Data!$A$4:$G$8,2,FALSE)</f>
        <v>3708.2177282384609</v>
      </c>
      <c r="T70" s="75">
        <f t="shared" si="8"/>
        <v>6180.3628803974343</v>
      </c>
      <c r="U70" s="11">
        <f>U69*(1+VLOOKUP(U$6,Data!$A$3:$G$8,6,0))^(1/12)</f>
        <v>11746.909035500848</v>
      </c>
      <c r="V70" s="59">
        <f>U70*VLOOKUP(U$6,Data!$A$4:$G$8,3,FALSE)</f>
        <v>29367.272588752123</v>
      </c>
      <c r="W70" s="37">
        <f>VLOOKUP(U$6,Data!$A$3:$G$8,5,FALSE)+IF($B70=refund_inc_year,refund_inc,0)</f>
        <v>7.0000000000000007E-2</v>
      </c>
      <c r="X70" s="58">
        <f t="shared" si="9"/>
        <v>822.28363248505946</v>
      </c>
      <c r="Y70" s="75">
        <f>X70*VLOOKUP(U$6,Data!$A$4:$G$8,2,FALSE)</f>
        <v>6989.4108761230054</v>
      </c>
      <c r="Z70" s="75">
        <f t="shared" si="10"/>
        <v>22377.861712629117</v>
      </c>
      <c r="AA70" s="11">
        <f>AA69*(1+VLOOKUP(AA$6,Data!$A$3:$G$8,6,0))^(1/12)</f>
        <v>11586.982446060065</v>
      </c>
      <c r="AB70" s="59">
        <f>AA70*VLOOKUP(AA$6,Data!$A$4:$G$8,3,FALSE)</f>
        <v>31864.201726665178</v>
      </c>
      <c r="AC70" s="37">
        <f>VLOOKUP(AA$6,Data!$A$3:$G$8,5,FALSE)+IF($B70=refund_inc_year,refund_inc,0)</f>
        <v>0.08</v>
      </c>
      <c r="AD70" s="58">
        <f t="shared" si="11"/>
        <v>926.95859568480523</v>
      </c>
      <c r="AE70" s="75">
        <f>AD70*VLOOKUP(AA$6,Data!$A$4:$G$8,2,FALSE)</f>
        <v>9269.5859568480519</v>
      </c>
      <c r="AF70" s="75">
        <f t="shared" si="12"/>
        <v>22594.615769817126</v>
      </c>
      <c r="AG70" s="61">
        <f t="shared" si="13"/>
        <v>51336.676015801582</v>
      </c>
      <c r="AH70" s="60">
        <f>'Combined Admin'!D69</f>
        <v>17500</v>
      </c>
      <c r="AI70" s="60">
        <f t="shared" si="16"/>
        <v>0</v>
      </c>
      <c r="AJ70" s="60">
        <f t="shared" si="14"/>
        <v>17500</v>
      </c>
      <c r="AK70" s="60">
        <f t="shared" si="15"/>
        <v>33836.676015801582</v>
      </c>
      <c r="AL70" s="62">
        <f t="shared" si="17"/>
        <v>1813941.4554448698</v>
      </c>
    </row>
    <row r="71" spans="1:38" x14ac:dyDescent="0.25">
      <c r="A71" s="2">
        <v>64</v>
      </c>
      <c r="B71" s="36">
        <f t="shared" si="2"/>
        <v>6</v>
      </c>
      <c r="C71" s="11">
        <f>C70*(1+VLOOKUP(C$6,Data!$A$3:$G$8,6,0))^(1/12)</f>
        <v>5042.7042903511001</v>
      </c>
      <c r="D71" s="59">
        <f>C71*VLOOKUP(C$6,Data!$A$4:$G$8,3,FALSE)</f>
        <v>2521.35214517555</v>
      </c>
      <c r="E71" s="37">
        <f>VLOOKUP(C$6,Data!$A$3:$G$8,5,FALSE)+IF($B71=refund_inc_year,refund_inc,0)</f>
        <v>7.0000000000000007E-2</v>
      </c>
      <c r="F71" s="58">
        <f t="shared" si="3"/>
        <v>352.98930032457702</v>
      </c>
      <c r="G71" s="75">
        <f>F71*VLOOKUP(C$6,Data!$A$4:$G$8,2,FALSE)</f>
        <v>1764.9465016228851</v>
      </c>
      <c r="H71" s="75">
        <f t="shared" si="4"/>
        <v>756.40564355266497</v>
      </c>
      <c r="I71" s="11">
        <f>I70*(1+VLOOKUP(I$6,Data!$A$3:$G$8,6,0))^(1/12)</f>
        <v>9529.9453177394535</v>
      </c>
      <c r="J71" s="59">
        <f>I71*VLOOKUP(I$6,Data!$A$4:$G$8,3,FALSE)</f>
        <v>2858.9835953218358</v>
      </c>
      <c r="K71" s="37">
        <f>VLOOKUP(I$6,Data!$A$3:$G$8,5,FALSE)+IF($B71=refund_inc_year,refund_inc,0)</f>
        <v>0.06</v>
      </c>
      <c r="L71" s="58">
        <f t="shared" si="5"/>
        <v>571.79671906436715</v>
      </c>
      <c r="M71" s="75">
        <f>L71*VLOOKUP(I$6,Data!$A$4:$G$8,2,FALSE)</f>
        <v>3430.7803143862029</v>
      </c>
      <c r="N71" s="75">
        <f t="shared" si="6"/>
        <v>-571.79671906436715</v>
      </c>
      <c r="O71" s="11">
        <f>O70*(1+VLOOKUP(O$6,Data!$A$3:$G$8,6,0))^(1/12)</f>
        <v>9928.8679100800618</v>
      </c>
      <c r="P71" s="59">
        <f>O71*VLOOKUP(O$6,Data!$A$4:$G$8,3,FALSE)</f>
        <v>9928.8679100800618</v>
      </c>
      <c r="Q71" s="37">
        <f>VLOOKUP(O$6,Data!$A$3:$G$8,5,FALSE)+IF($B71=refund_inc_year,refund_inc,0)</f>
        <v>0.05</v>
      </c>
      <c r="R71" s="58">
        <f t="shared" si="7"/>
        <v>496.44339550400309</v>
      </c>
      <c r="S71" s="75">
        <f>R71*VLOOKUP(O$6,Data!$A$4:$G$8,2,FALSE)</f>
        <v>3723.3254662800232</v>
      </c>
      <c r="T71" s="75">
        <f t="shared" si="8"/>
        <v>6205.5424438000391</v>
      </c>
      <c r="U71" s="11">
        <f>U70*(1+VLOOKUP(U$6,Data!$A$3:$G$8,6,0))^(1/12)</f>
        <v>11766.310010819239</v>
      </c>
      <c r="V71" s="59">
        <f>U71*VLOOKUP(U$6,Data!$A$4:$G$8,3,FALSE)</f>
        <v>29415.775027048097</v>
      </c>
      <c r="W71" s="37">
        <f>VLOOKUP(U$6,Data!$A$3:$G$8,5,FALSE)+IF($B71=refund_inc_year,refund_inc,0)</f>
        <v>7.0000000000000007E-2</v>
      </c>
      <c r="X71" s="58">
        <f t="shared" si="9"/>
        <v>823.64170075734683</v>
      </c>
      <c r="Y71" s="75">
        <f>X71*VLOOKUP(U$6,Data!$A$4:$G$8,2,FALSE)</f>
        <v>7000.9544564374482</v>
      </c>
      <c r="Z71" s="75">
        <f t="shared" si="10"/>
        <v>22414.820570610649</v>
      </c>
      <c r="AA71" s="11">
        <f>AA70*(1+VLOOKUP(AA$6,Data!$A$3:$G$8,6,0))^(1/12)</f>
        <v>11615.559070618996</v>
      </c>
      <c r="AB71" s="59">
        <f>AA71*VLOOKUP(AA$6,Data!$A$4:$G$8,3,FALSE)</f>
        <v>31942.78744420224</v>
      </c>
      <c r="AC71" s="37">
        <f>VLOOKUP(AA$6,Data!$A$3:$G$8,5,FALSE)+IF($B71=refund_inc_year,refund_inc,0)</f>
        <v>0.08</v>
      </c>
      <c r="AD71" s="58">
        <f t="shared" si="11"/>
        <v>929.24472564951975</v>
      </c>
      <c r="AE71" s="75">
        <f>AD71*VLOOKUP(AA$6,Data!$A$4:$G$8,2,FALSE)</f>
        <v>9292.4472564951975</v>
      </c>
      <c r="AF71" s="75">
        <f t="shared" si="12"/>
        <v>22650.340187707043</v>
      </c>
      <c r="AG71" s="61">
        <f t="shared" si="13"/>
        <v>51455.312126606033</v>
      </c>
      <c r="AH71" s="60">
        <f>'Combined Admin'!D70</f>
        <v>17500</v>
      </c>
      <c r="AI71" s="60">
        <f t="shared" si="16"/>
        <v>0</v>
      </c>
      <c r="AJ71" s="60">
        <f t="shared" si="14"/>
        <v>17500</v>
      </c>
      <c r="AK71" s="60">
        <f t="shared" si="15"/>
        <v>33955.312126606033</v>
      </c>
      <c r="AL71" s="62">
        <f t="shared" si="17"/>
        <v>1791069.9086420385</v>
      </c>
    </row>
    <row r="72" spans="1:38" x14ac:dyDescent="0.25">
      <c r="A72" s="2">
        <v>65</v>
      </c>
      <c r="B72" s="36">
        <f t="shared" si="2"/>
        <v>6</v>
      </c>
      <c r="C72" s="11">
        <f>C71*(1+VLOOKUP(C$6,Data!$A$3:$G$8,6,0))^(1/12)</f>
        <v>5051.0327264681573</v>
      </c>
      <c r="D72" s="59">
        <f>C72*VLOOKUP(C$6,Data!$A$4:$G$8,3,FALSE)</f>
        <v>2525.5163632340787</v>
      </c>
      <c r="E72" s="37">
        <f>VLOOKUP(C$6,Data!$A$3:$G$8,5,FALSE)+IF($B72=refund_inc_year,refund_inc,0)</f>
        <v>7.0000000000000007E-2</v>
      </c>
      <c r="F72" s="58">
        <f t="shared" si="3"/>
        <v>353.57229085277106</v>
      </c>
      <c r="G72" s="75">
        <f>F72*VLOOKUP(C$6,Data!$A$4:$G$8,2,FALSE)</f>
        <v>1767.8614542638552</v>
      </c>
      <c r="H72" s="75">
        <f t="shared" si="4"/>
        <v>757.65490897022346</v>
      </c>
      <c r="I72" s="11">
        <f>I71*(1+VLOOKUP(I$6,Data!$A$3:$G$8,6,0))^(1/12)</f>
        <v>9537.8507706081527</v>
      </c>
      <c r="J72" s="59">
        <f>I72*VLOOKUP(I$6,Data!$A$4:$G$8,3,FALSE)</f>
        <v>2861.3552311824456</v>
      </c>
      <c r="K72" s="37">
        <f>VLOOKUP(I$6,Data!$A$3:$G$8,5,FALSE)+IF($B72=refund_inc_year,refund_inc,0)</f>
        <v>0.06</v>
      </c>
      <c r="L72" s="58">
        <f t="shared" si="5"/>
        <v>572.27104623648916</v>
      </c>
      <c r="M72" s="75">
        <f>L72*VLOOKUP(I$6,Data!$A$4:$G$8,2,FALSE)</f>
        <v>3433.6262774189349</v>
      </c>
      <c r="N72" s="75">
        <f t="shared" si="6"/>
        <v>-572.27104623648938</v>
      </c>
      <c r="O72" s="11">
        <f>O71*(1+VLOOKUP(O$6,Data!$A$3:$G$8,6,0))^(1/12)</f>
        <v>9969.3193469772214</v>
      </c>
      <c r="P72" s="59">
        <f>O72*VLOOKUP(O$6,Data!$A$4:$G$8,3,FALSE)</f>
        <v>9969.3193469772214</v>
      </c>
      <c r="Q72" s="37">
        <f>VLOOKUP(O$6,Data!$A$3:$G$8,5,FALSE)+IF($B72=refund_inc_year,refund_inc,0)</f>
        <v>0.05</v>
      </c>
      <c r="R72" s="58">
        <f t="shared" si="7"/>
        <v>498.46596734886111</v>
      </c>
      <c r="S72" s="75">
        <f>R72*VLOOKUP(O$6,Data!$A$4:$G$8,2,FALSE)</f>
        <v>3738.4947551164582</v>
      </c>
      <c r="T72" s="75">
        <f t="shared" si="8"/>
        <v>6230.8245918607627</v>
      </c>
      <c r="U72" s="11">
        <f>U71*(1+VLOOKUP(U$6,Data!$A$3:$G$8,6,0))^(1/12)</f>
        <v>11785.743028425704</v>
      </c>
      <c r="V72" s="59">
        <f>U72*VLOOKUP(U$6,Data!$A$4:$G$8,3,FALSE)</f>
        <v>29464.357571064262</v>
      </c>
      <c r="W72" s="37">
        <f>VLOOKUP(U$6,Data!$A$3:$G$8,5,FALSE)+IF($B72=refund_inc_year,refund_inc,0)</f>
        <v>7.0000000000000007E-2</v>
      </c>
      <c r="X72" s="58">
        <f t="shared" si="9"/>
        <v>825.00201198979937</v>
      </c>
      <c r="Y72" s="75">
        <f>X72*VLOOKUP(U$6,Data!$A$4:$G$8,2,FALSE)</f>
        <v>7012.5171019132949</v>
      </c>
      <c r="Z72" s="75">
        <f t="shared" si="10"/>
        <v>22451.840469150968</v>
      </c>
      <c r="AA72" s="11">
        <f>AA71*(1+VLOOKUP(AA$6,Data!$A$3:$G$8,6,0))^(1/12)</f>
        <v>11644.206172843271</v>
      </c>
      <c r="AB72" s="59">
        <f>AA72*VLOOKUP(AA$6,Data!$A$4:$G$8,3,FALSE)</f>
        <v>32021.566975318994</v>
      </c>
      <c r="AC72" s="37">
        <f>VLOOKUP(AA$6,Data!$A$3:$G$8,5,FALSE)+IF($B72=refund_inc_year,refund_inc,0)</f>
        <v>0.08</v>
      </c>
      <c r="AD72" s="58">
        <f t="shared" si="11"/>
        <v>931.53649382746164</v>
      </c>
      <c r="AE72" s="75">
        <f>AD72*VLOOKUP(AA$6,Data!$A$4:$G$8,2,FALSE)</f>
        <v>9315.3649382746171</v>
      </c>
      <c r="AF72" s="75">
        <f t="shared" si="12"/>
        <v>22706.202037044379</v>
      </c>
      <c r="AG72" s="61">
        <f t="shared" si="13"/>
        <v>51574.250960789839</v>
      </c>
      <c r="AH72" s="60">
        <f>'Combined Admin'!D71</f>
        <v>17500</v>
      </c>
      <c r="AI72" s="60">
        <f t="shared" ref="AI72:AI103" si="18">IF($B72=imp_cost_year,imp_cost/12,0)</f>
        <v>0</v>
      </c>
      <c r="AJ72" s="60">
        <f t="shared" si="14"/>
        <v>17500</v>
      </c>
      <c r="AK72" s="60">
        <f t="shared" si="15"/>
        <v>34074.250960789839</v>
      </c>
      <c r="AL72" s="62">
        <f t="shared" ref="AL72:AL103" si="19">(AK72+AL73)/(1+disc_rate)^(1/12)</f>
        <v>1767941.469080019</v>
      </c>
    </row>
    <row r="73" spans="1:38" x14ac:dyDescent="0.25">
      <c r="A73" s="2">
        <v>66</v>
      </c>
      <c r="B73" s="36">
        <f t="shared" ref="B73:B127" si="20">ROUNDUP(MAX((A73)/12,0),0)</f>
        <v>6</v>
      </c>
      <c r="C73" s="11">
        <f>C72*(1+VLOOKUP(C$6,Data!$A$3:$G$8,6,0))^(1/12)</f>
        <v>5059.3749176745796</v>
      </c>
      <c r="D73" s="59">
        <f>C73*VLOOKUP(C$6,Data!$A$4:$G$8,3,FALSE)</f>
        <v>2529.6874588372898</v>
      </c>
      <c r="E73" s="37">
        <f>VLOOKUP(C$6,Data!$A$3:$G$8,5,FALSE)+IF($B73=refund_inc_year,refund_inc,0)</f>
        <v>7.0000000000000007E-2</v>
      </c>
      <c r="F73" s="58">
        <f t="shared" ref="F73:F127" si="21">C73*E73</f>
        <v>354.15624423722062</v>
      </c>
      <c r="G73" s="75">
        <f>F73*VLOOKUP(C$6,Data!$A$4:$G$8,2,FALSE)</f>
        <v>1770.781221186103</v>
      </c>
      <c r="H73" s="75">
        <f t="shared" ref="H73:H127" si="22">D73-G73</f>
        <v>758.90623765118676</v>
      </c>
      <c r="I73" s="11">
        <f>I72*(1+VLOOKUP(I$6,Data!$A$3:$G$8,6,0))^(1/12)</f>
        <v>9545.7627813513172</v>
      </c>
      <c r="J73" s="59">
        <f>I73*VLOOKUP(I$6,Data!$A$4:$G$8,3,FALSE)</f>
        <v>2863.728834405395</v>
      </c>
      <c r="K73" s="37">
        <f>VLOOKUP(I$6,Data!$A$3:$G$8,5,FALSE)+IF($B73=refund_inc_year,refund_inc,0)</f>
        <v>0.06</v>
      </c>
      <c r="L73" s="58">
        <f t="shared" ref="L73:L127" si="23">I73*K73</f>
        <v>572.74576688107902</v>
      </c>
      <c r="M73" s="75">
        <f>L73*VLOOKUP(I$6,Data!$A$4:$G$8,2,FALSE)</f>
        <v>3436.4746012864744</v>
      </c>
      <c r="N73" s="75">
        <f t="shared" ref="N73:N127" si="24">J73-M73</f>
        <v>-572.74576688107936</v>
      </c>
      <c r="O73" s="11">
        <f>O72*(1+VLOOKUP(O$6,Data!$A$3:$G$8,6,0))^(1/12)</f>
        <v>10009.935588035527</v>
      </c>
      <c r="P73" s="59">
        <f>O73*VLOOKUP(O$6,Data!$A$4:$G$8,3,FALSE)</f>
        <v>10009.935588035527</v>
      </c>
      <c r="Q73" s="37">
        <f>VLOOKUP(O$6,Data!$A$3:$G$8,5,FALSE)+IF($B73=refund_inc_year,refund_inc,0)</f>
        <v>0.05</v>
      </c>
      <c r="R73" s="58">
        <f t="shared" ref="R73:R127" si="25">O73*Q73</f>
        <v>500.49677940177639</v>
      </c>
      <c r="S73" s="75">
        <f>R73*VLOOKUP(O$6,Data!$A$4:$G$8,2,FALSE)</f>
        <v>3753.7258455133228</v>
      </c>
      <c r="T73" s="75">
        <f t="shared" ref="T73:T127" si="26">P73-S73</f>
        <v>6256.2097425222037</v>
      </c>
      <c r="U73" s="11">
        <f>U72*(1+VLOOKUP(U$6,Data!$A$3:$G$8,6,0))^(1/12)</f>
        <v>11805.20814124069</v>
      </c>
      <c r="V73" s="59">
        <f>U73*VLOOKUP(U$6,Data!$A$4:$G$8,3,FALSE)</f>
        <v>29513.020353101725</v>
      </c>
      <c r="W73" s="37">
        <f>VLOOKUP(U$6,Data!$A$3:$G$8,5,FALSE)+IF($B73=refund_inc_year,refund_inc,0)</f>
        <v>7.0000000000000007E-2</v>
      </c>
      <c r="X73" s="58">
        <f t="shared" ref="X73:X127" si="27">U73*W73</f>
        <v>826.36456988684836</v>
      </c>
      <c r="Y73" s="75">
        <f>X73*VLOOKUP(U$6,Data!$A$4:$G$8,2,FALSE)</f>
        <v>7024.0988440382107</v>
      </c>
      <c r="Z73" s="75">
        <f t="shared" ref="Z73:Z127" si="28">V73-Y73</f>
        <v>22488.921509063515</v>
      </c>
      <c r="AA73" s="11">
        <f>AA72*(1+VLOOKUP(AA$6,Data!$A$3:$G$8,6,0))^(1/12)</f>
        <v>11672.923926549825</v>
      </c>
      <c r="AB73" s="59">
        <f>AA73*VLOOKUP(AA$6,Data!$A$4:$G$8,3,FALSE)</f>
        <v>32100.540798012022</v>
      </c>
      <c r="AC73" s="37">
        <f>VLOOKUP(AA$6,Data!$A$3:$G$8,5,FALSE)+IF($B73=refund_inc_year,refund_inc,0)</f>
        <v>0.08</v>
      </c>
      <c r="AD73" s="58">
        <f t="shared" ref="AD73:AD127" si="29">AA73*AC73</f>
        <v>933.83391412398601</v>
      </c>
      <c r="AE73" s="75">
        <f>AD73*VLOOKUP(AA$6,Data!$A$4:$G$8,2,FALSE)</f>
        <v>9338.3391412398596</v>
      </c>
      <c r="AF73" s="75">
        <f t="shared" ref="AF73:AF127" si="30">AB73-AE73</f>
        <v>22762.201656772162</v>
      </c>
      <c r="AG73" s="61">
        <f t="shared" ref="AG73:AG127" si="31">H73+N73+T73+Z73+AF73</f>
        <v>51693.493379127991</v>
      </c>
      <c r="AH73" s="60">
        <f>'Combined Admin'!D72</f>
        <v>17500</v>
      </c>
      <c r="AI73" s="60">
        <f t="shared" si="18"/>
        <v>0</v>
      </c>
      <c r="AJ73" s="60">
        <f t="shared" ref="AJ73:AJ127" si="32">AH73+AI73</f>
        <v>17500</v>
      </c>
      <c r="AK73" s="60">
        <f t="shared" ref="AK73:AK127" si="33">AG73-AJ73</f>
        <v>34193.493379127991</v>
      </c>
      <c r="AL73" s="62">
        <f t="shared" si="19"/>
        <v>1744554.2811395053</v>
      </c>
    </row>
    <row r="74" spans="1:38" x14ac:dyDescent="0.25">
      <c r="A74" s="2">
        <v>67</v>
      </c>
      <c r="B74" s="36">
        <f t="shared" si="20"/>
        <v>6</v>
      </c>
      <c r="C74" s="11">
        <f>C73*(1+VLOOKUP(C$6,Data!$A$3:$G$8,6,0))^(1/12)</f>
        <v>5067.7308866880148</v>
      </c>
      <c r="D74" s="59">
        <f>C74*VLOOKUP(C$6,Data!$A$4:$G$8,3,FALSE)</f>
        <v>2533.8654433440074</v>
      </c>
      <c r="E74" s="37">
        <f>VLOOKUP(C$6,Data!$A$3:$G$8,5,FALSE)+IF($B74=refund_inc_year,refund_inc,0)</f>
        <v>7.0000000000000007E-2</v>
      </c>
      <c r="F74" s="58">
        <f t="shared" si="21"/>
        <v>354.74116206816109</v>
      </c>
      <c r="G74" s="75">
        <f>F74*VLOOKUP(C$6,Data!$A$4:$G$8,2,FALSE)</f>
        <v>1773.7058103408053</v>
      </c>
      <c r="H74" s="75">
        <f t="shared" si="22"/>
        <v>760.15963300320209</v>
      </c>
      <c r="I74" s="11">
        <f>I73*(1+VLOOKUP(I$6,Data!$A$3:$G$8,6,0))^(1/12)</f>
        <v>9553.6813554089549</v>
      </c>
      <c r="J74" s="59">
        <f>I74*VLOOKUP(I$6,Data!$A$4:$G$8,3,FALSE)</f>
        <v>2866.1044066226864</v>
      </c>
      <c r="K74" s="37">
        <f>VLOOKUP(I$6,Data!$A$3:$G$8,5,FALSE)+IF($B74=refund_inc_year,refund_inc,0)</f>
        <v>0.06</v>
      </c>
      <c r="L74" s="58">
        <f t="shared" si="23"/>
        <v>573.22088132453723</v>
      </c>
      <c r="M74" s="75">
        <f>L74*VLOOKUP(I$6,Data!$A$4:$G$8,2,FALSE)</f>
        <v>3439.3252879472234</v>
      </c>
      <c r="N74" s="75">
        <f t="shared" si="24"/>
        <v>-573.220881324537</v>
      </c>
      <c r="O74" s="11">
        <f>O73*(1+VLOOKUP(O$6,Data!$A$3:$G$8,6,0))^(1/12)</f>
        <v>10050.71730468753</v>
      </c>
      <c r="P74" s="59">
        <f>O74*VLOOKUP(O$6,Data!$A$4:$G$8,3,FALSE)</f>
        <v>10050.71730468753</v>
      </c>
      <c r="Q74" s="37">
        <f>VLOOKUP(O$6,Data!$A$3:$G$8,5,FALSE)+IF($B74=refund_inc_year,refund_inc,0)</f>
        <v>0.05</v>
      </c>
      <c r="R74" s="58">
        <f t="shared" si="25"/>
        <v>502.53586523437656</v>
      </c>
      <c r="S74" s="75">
        <f>R74*VLOOKUP(O$6,Data!$A$4:$G$8,2,FALSE)</f>
        <v>3769.0189892578242</v>
      </c>
      <c r="T74" s="75">
        <f t="shared" si="26"/>
        <v>6281.6983154297068</v>
      </c>
      <c r="U74" s="11">
        <f>U73*(1+VLOOKUP(U$6,Data!$A$3:$G$8,6,0))^(1/12)</f>
        <v>11824.705402272039</v>
      </c>
      <c r="V74" s="59">
        <f>U74*VLOOKUP(U$6,Data!$A$4:$G$8,3,FALSE)</f>
        <v>29561.763505680097</v>
      </c>
      <c r="W74" s="37">
        <f>VLOOKUP(U$6,Data!$A$3:$G$8,5,FALSE)+IF($B74=refund_inc_year,refund_inc,0)</f>
        <v>7.0000000000000007E-2</v>
      </c>
      <c r="X74" s="58">
        <f t="shared" si="27"/>
        <v>827.72937815904277</v>
      </c>
      <c r="Y74" s="75">
        <f>X74*VLOOKUP(U$6,Data!$A$4:$G$8,2,FALSE)</f>
        <v>7035.6997143518638</v>
      </c>
      <c r="Z74" s="75">
        <f t="shared" si="28"/>
        <v>22526.063791328233</v>
      </c>
      <c r="AA74" s="11">
        <f>AA73*(1+VLOOKUP(AA$6,Data!$A$3:$G$8,6,0))^(1/12)</f>
        <v>11701.712505984277</v>
      </c>
      <c r="AB74" s="59">
        <f>AA74*VLOOKUP(AA$6,Data!$A$4:$G$8,3,FALSE)</f>
        <v>32179.709391456759</v>
      </c>
      <c r="AC74" s="37">
        <f>VLOOKUP(AA$6,Data!$A$3:$G$8,5,FALSE)+IF($B74=refund_inc_year,refund_inc,0)</f>
        <v>0.08</v>
      </c>
      <c r="AD74" s="58">
        <f t="shared" si="29"/>
        <v>936.13700047874215</v>
      </c>
      <c r="AE74" s="75">
        <f>AD74*VLOOKUP(AA$6,Data!$A$4:$G$8,2,FALSE)</f>
        <v>9361.3700047874208</v>
      </c>
      <c r="AF74" s="75">
        <f t="shared" si="30"/>
        <v>22818.339386669337</v>
      </c>
      <c r="AG74" s="61">
        <f t="shared" si="31"/>
        <v>51813.040245105942</v>
      </c>
      <c r="AH74" s="60">
        <f>'Combined Admin'!D73</f>
        <v>17500</v>
      </c>
      <c r="AI74" s="60">
        <f t="shared" si="18"/>
        <v>0</v>
      </c>
      <c r="AJ74" s="60">
        <f t="shared" si="32"/>
        <v>17500</v>
      </c>
      <c r="AK74" s="60">
        <f t="shared" si="33"/>
        <v>34313.040245105942</v>
      </c>
      <c r="AL74" s="62">
        <f t="shared" si="19"/>
        <v>1720906.4771233471</v>
      </c>
    </row>
    <row r="75" spans="1:38" x14ac:dyDescent="0.25">
      <c r="A75" s="2">
        <v>68</v>
      </c>
      <c r="B75" s="36">
        <f t="shared" si="20"/>
        <v>6</v>
      </c>
      <c r="C75" s="11">
        <f>C74*(1+VLOOKUP(C$6,Data!$A$3:$G$8,6,0))^(1/12)</f>
        <v>5076.1006562636321</v>
      </c>
      <c r="D75" s="59">
        <f>C75*VLOOKUP(C$6,Data!$A$4:$G$8,3,FALSE)</f>
        <v>2538.0503281318161</v>
      </c>
      <c r="E75" s="37">
        <f>VLOOKUP(C$6,Data!$A$3:$G$8,5,FALSE)+IF($B75=refund_inc_year,refund_inc,0)</f>
        <v>7.0000000000000007E-2</v>
      </c>
      <c r="F75" s="58">
        <f t="shared" si="21"/>
        <v>355.32704593845426</v>
      </c>
      <c r="G75" s="75">
        <f>F75*VLOOKUP(C$6,Data!$A$4:$G$8,2,FALSE)</f>
        <v>1776.6352296922714</v>
      </c>
      <c r="H75" s="75">
        <f t="shared" si="22"/>
        <v>761.41509843954464</v>
      </c>
      <c r="I75" s="11">
        <f>I74*(1+VLOOKUP(I$6,Data!$A$3:$G$8,6,0))^(1/12)</f>
        <v>9561.6064982255848</v>
      </c>
      <c r="J75" s="59">
        <f>I75*VLOOKUP(I$6,Data!$A$4:$G$8,3,FALSE)</f>
        <v>2868.4819494676753</v>
      </c>
      <c r="K75" s="37">
        <f>VLOOKUP(I$6,Data!$A$3:$G$8,5,FALSE)+IF($B75=refund_inc_year,refund_inc,0)</f>
        <v>0.06</v>
      </c>
      <c r="L75" s="58">
        <f t="shared" si="23"/>
        <v>573.69638989353507</v>
      </c>
      <c r="M75" s="75">
        <f>L75*VLOOKUP(I$6,Data!$A$4:$G$8,2,FALSE)</f>
        <v>3442.1783393612104</v>
      </c>
      <c r="N75" s="75">
        <f t="shared" si="24"/>
        <v>-573.69638989353507</v>
      </c>
      <c r="O75" s="11">
        <f>O74*(1+VLOOKUP(O$6,Data!$A$3:$G$8,6,0))^(1/12)</f>
        <v>10091.665171101284</v>
      </c>
      <c r="P75" s="59">
        <f>O75*VLOOKUP(O$6,Data!$A$4:$G$8,3,FALSE)</f>
        <v>10091.665171101284</v>
      </c>
      <c r="Q75" s="37">
        <f>VLOOKUP(O$6,Data!$A$3:$G$8,5,FALSE)+IF($B75=refund_inc_year,refund_inc,0)</f>
        <v>0.05</v>
      </c>
      <c r="R75" s="58">
        <f t="shared" si="25"/>
        <v>504.58325855506422</v>
      </c>
      <c r="S75" s="75">
        <f>R75*VLOOKUP(O$6,Data!$A$4:$G$8,2,FALSE)</f>
        <v>3784.3744391629816</v>
      </c>
      <c r="T75" s="75">
        <f t="shared" si="26"/>
        <v>6307.2907319383021</v>
      </c>
      <c r="U75" s="11">
        <f>U74*(1+VLOOKUP(U$6,Data!$A$3:$G$8,6,0))^(1/12)</f>
        <v>11844.234864615146</v>
      </c>
      <c r="V75" s="59">
        <f>U75*VLOOKUP(U$6,Data!$A$4:$G$8,3,FALSE)</f>
        <v>29610.587161537864</v>
      </c>
      <c r="W75" s="37">
        <f>VLOOKUP(U$6,Data!$A$3:$G$8,5,FALSE)+IF($B75=refund_inc_year,refund_inc,0)</f>
        <v>7.0000000000000007E-2</v>
      </c>
      <c r="X75" s="58">
        <f t="shared" si="27"/>
        <v>829.09644052306032</v>
      </c>
      <c r="Y75" s="75">
        <f>X75*VLOOKUP(U$6,Data!$A$4:$G$8,2,FALSE)</f>
        <v>7047.3197444460129</v>
      </c>
      <c r="Z75" s="75">
        <f t="shared" si="28"/>
        <v>22563.267417091851</v>
      </c>
      <c r="AA75" s="11">
        <f>AA74*(1+VLOOKUP(AA$6,Data!$A$3:$G$8,6,0))^(1/12)</f>
        <v>11730.572085821974</v>
      </c>
      <c r="AB75" s="59">
        <f>AA75*VLOOKUP(AA$6,Data!$A$4:$G$8,3,FALSE)</f>
        <v>32259.073236010427</v>
      </c>
      <c r="AC75" s="37">
        <f>VLOOKUP(AA$6,Data!$A$3:$G$8,5,FALSE)+IF($B75=refund_inc_year,refund_inc,0)</f>
        <v>0.08</v>
      </c>
      <c r="AD75" s="58">
        <f t="shared" si="29"/>
        <v>938.44576686575795</v>
      </c>
      <c r="AE75" s="75">
        <f>AD75*VLOOKUP(AA$6,Data!$A$4:$G$8,2,FALSE)</f>
        <v>9384.4576686575801</v>
      </c>
      <c r="AF75" s="75">
        <f t="shared" si="30"/>
        <v>22874.615567352848</v>
      </c>
      <c r="AG75" s="61">
        <f t="shared" si="31"/>
        <v>51932.892424929014</v>
      </c>
      <c r="AH75" s="60">
        <f>'Combined Admin'!D74</f>
        <v>17500</v>
      </c>
      <c r="AI75" s="60">
        <f t="shared" si="18"/>
        <v>0</v>
      </c>
      <c r="AJ75" s="60">
        <f t="shared" si="32"/>
        <v>17500</v>
      </c>
      <c r="AK75" s="60">
        <f t="shared" si="33"/>
        <v>34432.892424929014</v>
      </c>
      <c r="AL75" s="62">
        <f t="shared" si="19"/>
        <v>1696996.1771808309</v>
      </c>
    </row>
    <row r="76" spans="1:38" x14ac:dyDescent="0.25">
      <c r="A76" s="2">
        <v>69</v>
      </c>
      <c r="B76" s="36">
        <f t="shared" si="20"/>
        <v>6</v>
      </c>
      <c r="C76" s="11">
        <f>C75*(1+VLOOKUP(C$6,Data!$A$3:$G$8,6,0))^(1/12)</f>
        <v>5084.4842491941818</v>
      </c>
      <c r="D76" s="59">
        <f>C76*VLOOKUP(C$6,Data!$A$4:$G$8,3,FALSE)</f>
        <v>2542.2421245970909</v>
      </c>
      <c r="E76" s="37">
        <f>VLOOKUP(C$6,Data!$A$3:$G$8,5,FALSE)+IF($B76=refund_inc_year,refund_inc,0)</f>
        <v>7.0000000000000007E-2</v>
      </c>
      <c r="F76" s="58">
        <f t="shared" si="21"/>
        <v>355.91389744359276</v>
      </c>
      <c r="G76" s="75">
        <f>F76*VLOOKUP(C$6,Data!$A$4:$G$8,2,FALSE)</f>
        <v>1779.5694872179638</v>
      </c>
      <c r="H76" s="75">
        <f t="shared" si="22"/>
        <v>762.67263737912708</v>
      </c>
      <c r="I76" s="11">
        <f>I75*(1+VLOOKUP(I$6,Data!$A$3:$G$8,6,0))^(1/12)</f>
        <v>9569.5382152502425</v>
      </c>
      <c r="J76" s="59">
        <f>I76*VLOOKUP(I$6,Data!$A$4:$G$8,3,FALSE)</f>
        <v>2870.8614645750727</v>
      </c>
      <c r="K76" s="37">
        <f>VLOOKUP(I$6,Data!$A$3:$G$8,5,FALSE)+IF($B76=refund_inc_year,refund_inc,0)</f>
        <v>0.06</v>
      </c>
      <c r="L76" s="58">
        <f t="shared" si="23"/>
        <v>574.17229291501451</v>
      </c>
      <c r="M76" s="75">
        <f>L76*VLOOKUP(I$6,Data!$A$4:$G$8,2,FALSE)</f>
        <v>3445.0337574900868</v>
      </c>
      <c r="N76" s="75">
        <f t="shared" si="24"/>
        <v>-574.17229291501417</v>
      </c>
      <c r="O76" s="11">
        <f>O75*(1+VLOOKUP(O$6,Data!$A$3:$G$8,6,0))^(1/12)</f>
        <v>10132.779864191483</v>
      </c>
      <c r="P76" s="59">
        <f>O76*VLOOKUP(O$6,Data!$A$4:$G$8,3,FALSE)</f>
        <v>10132.779864191483</v>
      </c>
      <c r="Q76" s="37">
        <f>VLOOKUP(O$6,Data!$A$3:$G$8,5,FALSE)+IF($B76=refund_inc_year,refund_inc,0)</f>
        <v>0.05</v>
      </c>
      <c r="R76" s="58">
        <f t="shared" si="25"/>
        <v>506.63899320957421</v>
      </c>
      <c r="S76" s="75">
        <f>R76*VLOOKUP(O$6,Data!$A$4:$G$8,2,FALSE)</f>
        <v>3799.7924490718065</v>
      </c>
      <c r="T76" s="75">
        <f t="shared" si="26"/>
        <v>6332.9874151196764</v>
      </c>
      <c r="U76" s="11">
        <f>U75*(1+VLOOKUP(U$6,Data!$A$3:$G$8,6,0))^(1/12)</f>
        <v>11863.796581453096</v>
      </c>
      <c r="V76" s="59">
        <f>U76*VLOOKUP(U$6,Data!$A$4:$G$8,3,FALSE)</f>
        <v>29659.491453632741</v>
      </c>
      <c r="W76" s="37">
        <f>VLOOKUP(U$6,Data!$A$3:$G$8,5,FALSE)+IF($B76=refund_inc_year,refund_inc,0)</f>
        <v>7.0000000000000007E-2</v>
      </c>
      <c r="X76" s="58">
        <f t="shared" si="27"/>
        <v>830.46576070171682</v>
      </c>
      <c r="Y76" s="75">
        <f>X76*VLOOKUP(U$6,Data!$A$4:$G$8,2,FALSE)</f>
        <v>7058.9589659645926</v>
      </c>
      <c r="Z76" s="75">
        <f t="shared" si="28"/>
        <v>22600.532487668148</v>
      </c>
      <c r="AA76" s="11">
        <f>AA75*(1+VLOOKUP(AA$6,Data!$A$3:$G$8,6,0))^(1/12)</f>
        <v>11759.502841169066</v>
      </c>
      <c r="AB76" s="59">
        <f>AA76*VLOOKUP(AA$6,Data!$A$4:$G$8,3,FALSE)</f>
        <v>32338.632813214928</v>
      </c>
      <c r="AC76" s="37">
        <f>VLOOKUP(AA$6,Data!$A$3:$G$8,5,FALSE)+IF($B76=refund_inc_year,refund_inc,0)</f>
        <v>0.08</v>
      </c>
      <c r="AD76" s="58">
        <f t="shared" si="29"/>
        <v>940.7602272935253</v>
      </c>
      <c r="AE76" s="75">
        <f>AD76*VLOOKUP(AA$6,Data!$A$4:$G$8,2,FALSE)</f>
        <v>9407.6022729352535</v>
      </c>
      <c r="AF76" s="75">
        <f t="shared" si="30"/>
        <v>22931.030540279673</v>
      </c>
      <c r="AG76" s="61">
        <f t="shared" si="31"/>
        <v>52053.050787531611</v>
      </c>
      <c r="AH76" s="60">
        <f>'Combined Admin'!D75</f>
        <v>17500</v>
      </c>
      <c r="AI76" s="60">
        <f t="shared" si="18"/>
        <v>0</v>
      </c>
      <c r="AJ76" s="60">
        <f t="shared" si="32"/>
        <v>17500</v>
      </c>
      <c r="AK76" s="60">
        <f t="shared" si="33"/>
        <v>34553.050787531611</v>
      </c>
      <c r="AL76" s="62">
        <f t="shared" si="19"/>
        <v>1672821.4892314926</v>
      </c>
    </row>
    <row r="77" spans="1:38" x14ac:dyDescent="0.25">
      <c r="A77" s="2">
        <v>70</v>
      </c>
      <c r="B77" s="36">
        <f t="shared" si="20"/>
        <v>6</v>
      </c>
      <c r="C77" s="11">
        <f>C76*(1+VLOOKUP(C$6,Data!$A$3:$G$8,6,0))^(1/12)</f>
        <v>5092.881688310059</v>
      </c>
      <c r="D77" s="59">
        <f>C77*VLOOKUP(C$6,Data!$A$4:$G$8,3,FALSE)</f>
        <v>2546.4408441550295</v>
      </c>
      <c r="E77" s="37">
        <f>VLOOKUP(C$6,Data!$A$3:$G$8,5,FALSE)+IF($B77=refund_inc_year,refund_inc,0)</f>
        <v>7.0000000000000007E-2</v>
      </c>
      <c r="F77" s="58">
        <f t="shared" si="21"/>
        <v>356.50171818170418</v>
      </c>
      <c r="G77" s="75">
        <f>F77*VLOOKUP(C$6,Data!$A$4:$G$8,2,FALSE)</f>
        <v>1782.508590908521</v>
      </c>
      <c r="H77" s="75">
        <f t="shared" si="22"/>
        <v>763.93225324650848</v>
      </c>
      <c r="I77" s="11">
        <f>I76*(1+VLOOKUP(I$6,Data!$A$3:$G$8,6,0))^(1/12)</f>
        <v>9577.4765119364856</v>
      </c>
      <c r="J77" s="59">
        <f>I77*VLOOKUP(I$6,Data!$A$4:$G$8,3,FALSE)</f>
        <v>2873.2429535809456</v>
      </c>
      <c r="K77" s="37">
        <f>VLOOKUP(I$6,Data!$A$3:$G$8,5,FALSE)+IF($B77=refund_inc_year,refund_inc,0)</f>
        <v>0.06</v>
      </c>
      <c r="L77" s="58">
        <f t="shared" si="23"/>
        <v>574.64859071618912</v>
      </c>
      <c r="M77" s="75">
        <f>L77*VLOOKUP(I$6,Data!$A$4:$G$8,2,FALSE)</f>
        <v>3447.8915442971347</v>
      </c>
      <c r="N77" s="75">
        <f t="shared" si="24"/>
        <v>-574.64859071618912</v>
      </c>
      <c r="O77" s="11">
        <f>O76*(1+VLOOKUP(O$6,Data!$A$3:$G$8,6,0))^(1/12)</f>
        <v>10174.062063630659</v>
      </c>
      <c r="P77" s="59">
        <f>O77*VLOOKUP(O$6,Data!$A$4:$G$8,3,FALSE)</f>
        <v>10174.062063630659</v>
      </c>
      <c r="Q77" s="37">
        <f>VLOOKUP(O$6,Data!$A$3:$G$8,5,FALSE)+IF($B77=refund_inc_year,refund_inc,0)</f>
        <v>0.05</v>
      </c>
      <c r="R77" s="58">
        <f t="shared" si="25"/>
        <v>508.70310318153298</v>
      </c>
      <c r="S77" s="75">
        <f>R77*VLOOKUP(O$6,Data!$A$4:$G$8,2,FALSE)</f>
        <v>3815.2732738614973</v>
      </c>
      <c r="T77" s="75">
        <f t="shared" si="26"/>
        <v>6358.7887897691617</v>
      </c>
      <c r="U77" s="11">
        <f>U76*(1+VLOOKUP(U$6,Data!$A$3:$G$8,6,0))^(1/12)</f>
        <v>11883.39060605681</v>
      </c>
      <c r="V77" s="59">
        <f>U77*VLOOKUP(U$6,Data!$A$4:$G$8,3,FALSE)</f>
        <v>29708.476515142025</v>
      </c>
      <c r="W77" s="37">
        <f>VLOOKUP(U$6,Data!$A$3:$G$8,5,FALSE)+IF($B77=refund_inc_year,refund_inc,0)</f>
        <v>7.0000000000000007E-2</v>
      </c>
      <c r="X77" s="58">
        <f t="shared" si="27"/>
        <v>831.83734242397679</v>
      </c>
      <c r="Y77" s="75">
        <f>X77*VLOOKUP(U$6,Data!$A$4:$G$8,2,FALSE)</f>
        <v>7070.6174106038025</v>
      </c>
      <c r="Z77" s="75">
        <f t="shared" si="28"/>
        <v>22637.859104538224</v>
      </c>
      <c r="AA77" s="11">
        <f>AA76*(1+VLOOKUP(AA$6,Data!$A$3:$G$8,6,0))^(1/12)</f>
        <v>11788.504947563561</v>
      </c>
      <c r="AB77" s="59">
        <f>AA77*VLOOKUP(AA$6,Data!$A$4:$G$8,3,FALSE)</f>
        <v>32418.388605799792</v>
      </c>
      <c r="AC77" s="37">
        <f>VLOOKUP(AA$6,Data!$A$3:$G$8,5,FALSE)+IF($B77=refund_inc_year,refund_inc,0)</f>
        <v>0.08</v>
      </c>
      <c r="AD77" s="58">
        <f t="shared" si="29"/>
        <v>943.08039580508489</v>
      </c>
      <c r="AE77" s="75">
        <f>AD77*VLOOKUP(AA$6,Data!$A$4:$G$8,2,FALSE)</f>
        <v>9430.8039580508485</v>
      </c>
      <c r="AF77" s="75">
        <f t="shared" si="30"/>
        <v>22987.584647748943</v>
      </c>
      <c r="AG77" s="61">
        <f t="shared" si="31"/>
        <v>52173.516204586645</v>
      </c>
      <c r="AH77" s="60">
        <f>'Combined Admin'!D76</f>
        <v>17500</v>
      </c>
      <c r="AI77" s="60">
        <f t="shared" si="18"/>
        <v>0</v>
      </c>
      <c r="AJ77" s="60">
        <f t="shared" si="32"/>
        <v>17500</v>
      </c>
      <c r="AK77" s="60">
        <f t="shared" si="33"/>
        <v>34673.516204586645</v>
      </c>
      <c r="AL77" s="62">
        <f t="shared" si="19"/>
        <v>1648380.5088884605</v>
      </c>
    </row>
    <row r="78" spans="1:38" x14ac:dyDescent="0.25">
      <c r="A78" s="2">
        <v>71</v>
      </c>
      <c r="B78" s="36">
        <f t="shared" si="20"/>
        <v>6</v>
      </c>
      <c r="C78" s="11">
        <f>C77*(1+VLOOKUP(C$6,Data!$A$3:$G$8,6,0))^(1/12)</f>
        <v>5101.2929964793639</v>
      </c>
      <c r="D78" s="59">
        <f>C78*VLOOKUP(C$6,Data!$A$4:$G$8,3,FALSE)</f>
        <v>2550.6464982396819</v>
      </c>
      <c r="E78" s="37">
        <f>VLOOKUP(C$6,Data!$A$3:$G$8,5,FALSE)+IF($B78=refund_inc_year,refund_inc,0)</f>
        <v>7.0000000000000007E-2</v>
      </c>
      <c r="F78" s="58">
        <f t="shared" si="21"/>
        <v>357.09050975355552</v>
      </c>
      <c r="G78" s="75">
        <f>F78*VLOOKUP(C$6,Data!$A$4:$G$8,2,FALSE)</f>
        <v>1785.4525487677777</v>
      </c>
      <c r="H78" s="75">
        <f t="shared" si="22"/>
        <v>765.19394947190426</v>
      </c>
      <c r="I78" s="11">
        <f>I77*(1+VLOOKUP(I$6,Data!$A$3:$G$8,6,0))^(1/12)</f>
        <v>9585.421393742392</v>
      </c>
      <c r="J78" s="59">
        <f>I78*VLOOKUP(I$6,Data!$A$4:$G$8,3,FALSE)</f>
        <v>2875.6264181227175</v>
      </c>
      <c r="K78" s="37">
        <f>VLOOKUP(I$6,Data!$A$3:$G$8,5,FALSE)+IF($B78=refund_inc_year,refund_inc,0)</f>
        <v>0.06</v>
      </c>
      <c r="L78" s="58">
        <f t="shared" si="23"/>
        <v>575.1252836245435</v>
      </c>
      <c r="M78" s="75">
        <f>L78*VLOOKUP(I$6,Data!$A$4:$G$8,2,FALSE)</f>
        <v>3450.751701747261</v>
      </c>
      <c r="N78" s="75">
        <f t="shared" si="24"/>
        <v>-575.1252836245435</v>
      </c>
      <c r="O78" s="11">
        <f>O77*(1+VLOOKUP(O$6,Data!$A$3:$G$8,6,0))^(1/12)</f>
        <v>10215.512451860412</v>
      </c>
      <c r="P78" s="59">
        <f>O78*VLOOKUP(O$6,Data!$A$4:$G$8,3,FALSE)</f>
        <v>10215.512451860412</v>
      </c>
      <c r="Q78" s="37">
        <f>VLOOKUP(O$6,Data!$A$3:$G$8,5,FALSE)+IF($B78=refund_inc_year,refund_inc,0)</f>
        <v>0.05</v>
      </c>
      <c r="R78" s="58">
        <f t="shared" si="25"/>
        <v>510.77562259302061</v>
      </c>
      <c r="S78" s="75">
        <f>R78*VLOOKUP(O$6,Data!$A$4:$G$8,2,FALSE)</f>
        <v>3830.8171694476546</v>
      </c>
      <c r="T78" s="75">
        <f t="shared" si="26"/>
        <v>6384.6952824127566</v>
      </c>
      <c r="U78" s="11">
        <f>U77*(1+VLOOKUP(U$6,Data!$A$3:$G$8,6,0))^(1/12)</f>
        <v>11903.016991785187</v>
      </c>
      <c r="V78" s="59">
        <f>U78*VLOOKUP(U$6,Data!$A$4:$G$8,3,FALSE)</f>
        <v>29757.542479462969</v>
      </c>
      <c r="W78" s="37">
        <f>VLOOKUP(U$6,Data!$A$3:$G$8,5,FALSE)+IF($B78=refund_inc_year,refund_inc,0)</f>
        <v>7.0000000000000007E-2</v>
      </c>
      <c r="X78" s="58">
        <f t="shared" si="27"/>
        <v>833.21118942496321</v>
      </c>
      <c r="Y78" s="75">
        <f>X78*VLOOKUP(U$6,Data!$A$4:$G$8,2,FALSE)</f>
        <v>7082.2951101121871</v>
      </c>
      <c r="Z78" s="75">
        <f t="shared" si="28"/>
        <v>22675.247369350782</v>
      </c>
      <c r="AA78" s="11">
        <f>AA77*(1+VLOOKUP(AA$6,Data!$A$3:$G$8,6,0))^(1/12)</f>
        <v>11817.578580976389</v>
      </c>
      <c r="AB78" s="59">
        <f>AA78*VLOOKUP(AA$6,Data!$A$4:$G$8,3,FALSE)</f>
        <v>32498.341097685072</v>
      </c>
      <c r="AC78" s="37">
        <f>VLOOKUP(AA$6,Data!$A$3:$G$8,5,FALSE)+IF($B78=refund_inc_year,refund_inc,0)</f>
        <v>0.08</v>
      </c>
      <c r="AD78" s="58">
        <f t="shared" si="29"/>
        <v>945.40628647811116</v>
      </c>
      <c r="AE78" s="75">
        <f>AD78*VLOOKUP(AA$6,Data!$A$4:$G$8,2,FALSE)</f>
        <v>9454.0628647811118</v>
      </c>
      <c r="AF78" s="75">
        <f t="shared" si="30"/>
        <v>23044.278232903962</v>
      </c>
      <c r="AG78" s="61">
        <f t="shared" si="31"/>
        <v>52294.289550514863</v>
      </c>
      <c r="AH78" s="60">
        <f>'Combined Admin'!D77</f>
        <v>17500</v>
      </c>
      <c r="AI78" s="60">
        <f t="shared" si="18"/>
        <v>0</v>
      </c>
      <c r="AJ78" s="60">
        <f t="shared" si="32"/>
        <v>17500</v>
      </c>
      <c r="AK78" s="60">
        <f t="shared" si="33"/>
        <v>34794.289550514863</v>
      </c>
      <c r="AL78" s="62">
        <f t="shared" si="19"/>
        <v>1623671.3193813253</v>
      </c>
    </row>
    <row r="79" spans="1:38" x14ac:dyDescent="0.25">
      <c r="A79" s="2">
        <v>72</v>
      </c>
      <c r="B79" s="36">
        <f t="shared" si="20"/>
        <v>6</v>
      </c>
      <c r="C79" s="11">
        <f>C78*(1+VLOOKUP(C$6,Data!$A$3:$G$8,6,0))^(1/12)</f>
        <v>5109.7181966079661</v>
      </c>
      <c r="D79" s="59">
        <f>C79*VLOOKUP(C$6,Data!$A$4:$G$8,3,FALSE)</f>
        <v>2554.859098303983</v>
      </c>
      <c r="E79" s="37">
        <f>VLOOKUP(C$6,Data!$A$3:$G$8,5,FALSE)+IF($B79=refund_inc_year,refund_inc,0)</f>
        <v>7.0000000000000007E-2</v>
      </c>
      <c r="F79" s="58">
        <f t="shared" si="21"/>
        <v>357.68027376255765</v>
      </c>
      <c r="G79" s="75">
        <f>F79*VLOOKUP(C$6,Data!$A$4:$G$8,2,FALSE)</f>
        <v>1788.4013688127882</v>
      </c>
      <c r="H79" s="75">
        <f t="shared" si="22"/>
        <v>766.45772949119487</v>
      </c>
      <c r="I79" s="11">
        <f>I78*(1+VLOOKUP(I$6,Data!$A$3:$G$8,6,0))^(1/12)</f>
        <v>9593.3728661305704</v>
      </c>
      <c r="J79" s="59">
        <f>I79*VLOOKUP(I$6,Data!$A$4:$G$8,3,FALSE)</f>
        <v>2878.0118598391709</v>
      </c>
      <c r="K79" s="37">
        <f>VLOOKUP(I$6,Data!$A$3:$G$8,5,FALSE)+IF($B79=refund_inc_year,refund_inc,0)</f>
        <v>0.06</v>
      </c>
      <c r="L79" s="58">
        <f t="shared" si="23"/>
        <v>575.60237196783419</v>
      </c>
      <c r="M79" s="75">
        <f>L79*VLOOKUP(I$6,Data!$A$4:$G$8,2,FALSE)</f>
        <v>3453.6142318070051</v>
      </c>
      <c r="N79" s="75">
        <f t="shared" si="24"/>
        <v>-575.60237196783419</v>
      </c>
      <c r="O79" s="11">
        <f>O78*(1+VLOOKUP(O$6,Data!$A$3:$G$8,6,0))^(1/12)</f>
        <v>10257.131714102692</v>
      </c>
      <c r="P79" s="59">
        <f>O79*VLOOKUP(O$6,Data!$A$4:$G$8,3,FALSE)</f>
        <v>10257.131714102692</v>
      </c>
      <c r="Q79" s="37">
        <f>VLOOKUP(O$6,Data!$A$3:$G$8,5,FALSE)+IF($B79=refund_inc_year,refund_inc,0)</f>
        <v>0.05</v>
      </c>
      <c r="R79" s="58">
        <f t="shared" si="25"/>
        <v>512.85658570513465</v>
      </c>
      <c r="S79" s="75">
        <f>R79*VLOOKUP(O$6,Data!$A$4:$G$8,2,FALSE)</f>
        <v>3846.42439278851</v>
      </c>
      <c r="T79" s="75">
        <f t="shared" si="26"/>
        <v>6410.7073213141821</v>
      </c>
      <c r="U79" s="11">
        <f>U78*(1+VLOOKUP(U$6,Data!$A$3:$G$8,6,0))^(1/12)</f>
        <v>11922.675792085258</v>
      </c>
      <c r="V79" s="59">
        <f>U79*VLOOKUP(U$6,Data!$A$4:$G$8,3,FALSE)</f>
        <v>29806.689480213143</v>
      </c>
      <c r="W79" s="37">
        <f>VLOOKUP(U$6,Data!$A$3:$G$8,5,FALSE)+IF($B79=refund_inc_year,refund_inc,0)</f>
        <v>7.0000000000000007E-2</v>
      </c>
      <c r="X79" s="58">
        <f t="shared" si="27"/>
        <v>834.58730544596813</v>
      </c>
      <c r="Y79" s="75">
        <f>X79*VLOOKUP(U$6,Data!$A$4:$G$8,2,FALSE)</f>
        <v>7093.992096290729</v>
      </c>
      <c r="Z79" s="75">
        <f t="shared" si="28"/>
        <v>22712.697383922416</v>
      </c>
      <c r="AA79" s="11">
        <f>AA78*(1+VLOOKUP(AA$6,Data!$A$3:$G$8,6,0))^(1/12)</f>
        <v>11846.723917812475</v>
      </c>
      <c r="AB79" s="59">
        <f>AA79*VLOOKUP(AA$6,Data!$A$4:$G$8,3,FALSE)</f>
        <v>32578.490773984304</v>
      </c>
      <c r="AC79" s="37">
        <f>VLOOKUP(AA$6,Data!$A$3:$G$8,5,FALSE)+IF($B79=refund_inc_year,refund_inc,0)</f>
        <v>0.08</v>
      </c>
      <c r="AD79" s="58">
        <f t="shared" si="29"/>
        <v>947.73791342499794</v>
      </c>
      <c r="AE79" s="75">
        <f>AD79*VLOOKUP(AA$6,Data!$A$4:$G$8,2,FALSE)</f>
        <v>9477.379134249979</v>
      </c>
      <c r="AF79" s="75">
        <f t="shared" si="30"/>
        <v>23101.111639734325</v>
      </c>
      <c r="AG79" s="61">
        <f t="shared" si="31"/>
        <v>52415.371702494289</v>
      </c>
      <c r="AH79" s="60">
        <f>'Combined Admin'!D78</f>
        <v>17500</v>
      </c>
      <c r="AI79" s="60">
        <f t="shared" si="18"/>
        <v>0</v>
      </c>
      <c r="AJ79" s="60">
        <f t="shared" si="32"/>
        <v>17500</v>
      </c>
      <c r="AK79" s="60">
        <f t="shared" si="33"/>
        <v>34915.371702494289</v>
      </c>
      <c r="AL79" s="62">
        <f t="shared" si="19"/>
        <v>1598691.9914785353</v>
      </c>
    </row>
    <row r="80" spans="1:38" x14ac:dyDescent="0.25">
      <c r="A80" s="2">
        <v>73</v>
      </c>
      <c r="B80" s="36">
        <f t="shared" si="20"/>
        <v>7</v>
      </c>
      <c r="C80" s="11">
        <f>C79*(1+VLOOKUP(C$6,Data!$A$3:$G$8,6,0))^(1/12)</f>
        <v>5118.1573116395657</v>
      </c>
      <c r="D80" s="59">
        <f>C80*VLOOKUP(C$6,Data!$A$4:$G$8,3,FALSE)</f>
        <v>2559.0786558197829</v>
      </c>
      <c r="E80" s="37">
        <f>VLOOKUP(C$6,Data!$A$3:$G$8,5,FALSE)+IF($B80=refund_inc_year,refund_inc,0)</f>
        <v>7.0000000000000007E-2</v>
      </c>
      <c r="F80" s="58">
        <f t="shared" si="21"/>
        <v>358.27101181476962</v>
      </c>
      <c r="G80" s="75">
        <f>F80*VLOOKUP(C$6,Data!$A$4:$G$8,2,FALSE)</f>
        <v>1791.3550590738482</v>
      </c>
      <c r="H80" s="75">
        <f t="shared" si="22"/>
        <v>767.72359674593463</v>
      </c>
      <c r="I80" s="11">
        <f>I79*(1+VLOOKUP(I$6,Data!$A$3:$G$8,6,0))^(1/12)</f>
        <v>9601.3309345681591</v>
      </c>
      <c r="J80" s="59">
        <f>I80*VLOOKUP(I$6,Data!$A$4:$G$8,3,FALSE)</f>
        <v>2880.3992803704477</v>
      </c>
      <c r="K80" s="37">
        <f>VLOOKUP(I$6,Data!$A$3:$G$8,5,FALSE)+IF($B80=refund_inc_year,refund_inc,0)</f>
        <v>0.06</v>
      </c>
      <c r="L80" s="58">
        <f t="shared" si="23"/>
        <v>576.07985607408955</v>
      </c>
      <c r="M80" s="75">
        <f>L80*VLOOKUP(I$6,Data!$A$4:$G$8,2,FALSE)</f>
        <v>3456.4791364445373</v>
      </c>
      <c r="N80" s="75">
        <f t="shared" si="24"/>
        <v>-576.07985607408955</v>
      </c>
      <c r="O80" s="11">
        <f>O79*(1+VLOOKUP(O$6,Data!$A$3:$G$8,6,0))^(1/12)</f>
        <v>10298.920538371132</v>
      </c>
      <c r="P80" s="59">
        <f>O80*VLOOKUP(O$6,Data!$A$4:$G$8,3,FALSE)</f>
        <v>10298.920538371132</v>
      </c>
      <c r="Q80" s="37">
        <f>VLOOKUP(O$6,Data!$A$3:$G$8,5,FALSE)+IF($B80=refund_inc_year,refund_inc,0)</f>
        <v>0.05</v>
      </c>
      <c r="R80" s="58">
        <f t="shared" si="25"/>
        <v>514.94602691855664</v>
      </c>
      <c r="S80" s="75">
        <f>R80*VLOOKUP(O$6,Data!$A$4:$G$8,2,FALSE)</f>
        <v>3862.0952018891749</v>
      </c>
      <c r="T80" s="75">
        <f t="shared" si="26"/>
        <v>6436.8253364819575</v>
      </c>
      <c r="U80" s="11">
        <f>U79*(1+VLOOKUP(U$6,Data!$A$3:$G$8,6,0))^(1/12)</f>
        <v>11942.367060492323</v>
      </c>
      <c r="V80" s="59">
        <f>U80*VLOOKUP(U$6,Data!$A$4:$G$8,3,FALSE)</f>
        <v>29855.917651230808</v>
      </c>
      <c r="W80" s="37">
        <f>VLOOKUP(U$6,Data!$A$3:$G$8,5,FALSE)+IF($B80=refund_inc_year,refund_inc,0)</f>
        <v>7.0000000000000007E-2</v>
      </c>
      <c r="X80" s="58">
        <f t="shared" si="27"/>
        <v>835.96569423446272</v>
      </c>
      <c r="Y80" s="75">
        <f>X80*VLOOKUP(U$6,Data!$A$4:$G$8,2,FALSE)</f>
        <v>7105.7084009929331</v>
      </c>
      <c r="Z80" s="75">
        <f t="shared" si="28"/>
        <v>22750.209250237873</v>
      </c>
      <c r="AA80" s="11">
        <f>AA79*(1+VLOOKUP(AA$6,Data!$A$3:$G$8,6,0))^(1/12)</f>
        <v>11875.941134911802</v>
      </c>
      <c r="AB80" s="59">
        <f>AA80*VLOOKUP(AA$6,Data!$A$4:$G$8,3,FALSE)</f>
        <v>32658.838121007455</v>
      </c>
      <c r="AC80" s="37">
        <f>VLOOKUP(AA$6,Data!$A$3:$G$8,5,FALSE)+IF($B80=refund_inc_year,refund_inc,0)</f>
        <v>0.08</v>
      </c>
      <c r="AD80" s="58">
        <f t="shared" si="29"/>
        <v>950.0752907929442</v>
      </c>
      <c r="AE80" s="75">
        <f>AD80*VLOOKUP(AA$6,Data!$A$4:$G$8,2,FALSE)</f>
        <v>9500.7529079294418</v>
      </c>
      <c r="AF80" s="75">
        <f t="shared" si="30"/>
        <v>23158.085213078011</v>
      </c>
      <c r="AG80" s="61">
        <f t="shared" si="31"/>
        <v>52536.763540469685</v>
      </c>
      <c r="AH80" s="60">
        <f>'Combined Admin'!D79</f>
        <v>17500</v>
      </c>
      <c r="AI80" s="60">
        <f t="shared" si="18"/>
        <v>0</v>
      </c>
      <c r="AJ80" s="60">
        <f t="shared" si="32"/>
        <v>17500</v>
      </c>
      <c r="AK80" s="60">
        <f t="shared" si="33"/>
        <v>35036.763540469685</v>
      </c>
      <c r="AL80" s="62">
        <f t="shared" si="19"/>
        <v>1573440.5834093124</v>
      </c>
    </row>
    <row r="81" spans="1:38" x14ac:dyDescent="0.25">
      <c r="A81" s="2">
        <v>74</v>
      </c>
      <c r="B81" s="36">
        <f t="shared" si="20"/>
        <v>7</v>
      </c>
      <c r="C81" s="11">
        <f>C80*(1+VLOOKUP(C$6,Data!$A$3:$G$8,6,0))^(1/12)</f>
        <v>5126.610364555756</v>
      </c>
      <c r="D81" s="59">
        <f>C81*VLOOKUP(C$6,Data!$A$4:$G$8,3,FALSE)</f>
        <v>2563.305182277878</v>
      </c>
      <c r="E81" s="37">
        <f>VLOOKUP(C$6,Data!$A$3:$G$8,5,FALSE)+IF($B81=refund_inc_year,refund_inc,0)</f>
        <v>7.0000000000000007E-2</v>
      </c>
      <c r="F81" s="58">
        <f t="shared" si="21"/>
        <v>358.86272551890295</v>
      </c>
      <c r="G81" s="75">
        <f>F81*VLOOKUP(C$6,Data!$A$4:$G$8,2,FALSE)</f>
        <v>1794.3136275945149</v>
      </c>
      <c r="H81" s="75">
        <f t="shared" si="22"/>
        <v>768.99155468336312</v>
      </c>
      <c r="I81" s="11">
        <f>I80*(1+VLOOKUP(I$6,Data!$A$3:$G$8,6,0))^(1/12)</f>
        <v>9609.2956045268347</v>
      </c>
      <c r="J81" s="59">
        <f>I81*VLOOKUP(I$6,Data!$A$4:$G$8,3,FALSE)</f>
        <v>2882.7886813580503</v>
      </c>
      <c r="K81" s="37">
        <f>VLOOKUP(I$6,Data!$A$3:$G$8,5,FALSE)+IF($B81=refund_inc_year,refund_inc,0)</f>
        <v>0.06</v>
      </c>
      <c r="L81" s="58">
        <f t="shared" si="23"/>
        <v>576.55773627161011</v>
      </c>
      <c r="M81" s="75">
        <f>L81*VLOOKUP(I$6,Data!$A$4:$G$8,2,FALSE)</f>
        <v>3459.3464176296607</v>
      </c>
      <c r="N81" s="75">
        <f t="shared" si="24"/>
        <v>-576.55773627161034</v>
      </c>
      <c r="O81" s="11">
        <f>O80*(1+VLOOKUP(O$6,Data!$A$3:$G$8,6,0))^(1/12)</f>
        <v>10340.879615482414</v>
      </c>
      <c r="P81" s="59">
        <f>O81*VLOOKUP(O$6,Data!$A$4:$G$8,3,FALSE)</f>
        <v>10340.879615482414</v>
      </c>
      <c r="Q81" s="37">
        <f>VLOOKUP(O$6,Data!$A$3:$G$8,5,FALSE)+IF($B81=refund_inc_year,refund_inc,0)</f>
        <v>0.05</v>
      </c>
      <c r="R81" s="58">
        <f t="shared" si="25"/>
        <v>517.04398077412077</v>
      </c>
      <c r="S81" s="75">
        <f>R81*VLOOKUP(O$6,Data!$A$4:$G$8,2,FALSE)</f>
        <v>3877.8298558059059</v>
      </c>
      <c r="T81" s="75">
        <f t="shared" si="26"/>
        <v>6463.0497596765081</v>
      </c>
      <c r="U81" s="11">
        <f>U80*(1+VLOOKUP(U$6,Data!$A$3:$G$8,6,0))^(1/12)</f>
        <v>11962.0908506301</v>
      </c>
      <c r="V81" s="59">
        <f>U81*VLOOKUP(U$6,Data!$A$4:$G$8,3,FALSE)</f>
        <v>29905.22712657525</v>
      </c>
      <c r="W81" s="37">
        <f>VLOOKUP(U$6,Data!$A$3:$G$8,5,FALSE)+IF($B81=refund_inc_year,refund_inc,0)</f>
        <v>7.0000000000000007E-2</v>
      </c>
      <c r="X81" s="58">
        <f t="shared" si="27"/>
        <v>837.34635954410714</v>
      </c>
      <c r="Y81" s="75">
        <f>X81*VLOOKUP(U$6,Data!$A$4:$G$8,2,FALSE)</f>
        <v>7117.4440561249103</v>
      </c>
      <c r="Z81" s="75">
        <f t="shared" si="28"/>
        <v>22787.783070450339</v>
      </c>
      <c r="AA81" s="11">
        <f>AA80*(1+VLOOKUP(AA$6,Data!$A$3:$G$8,6,0))^(1/12)</f>
        <v>11905.230409550493</v>
      </c>
      <c r="AB81" s="59">
        <f>AA81*VLOOKUP(AA$6,Data!$A$4:$G$8,3,FALSE)</f>
        <v>32739.383626263858</v>
      </c>
      <c r="AC81" s="37">
        <f>VLOOKUP(AA$6,Data!$A$3:$G$8,5,FALSE)+IF($B81=refund_inc_year,refund_inc,0)</f>
        <v>0.08</v>
      </c>
      <c r="AD81" s="58">
        <f t="shared" si="29"/>
        <v>952.41843276403949</v>
      </c>
      <c r="AE81" s="75">
        <f>AD81*VLOOKUP(AA$6,Data!$A$4:$G$8,2,FALSE)</f>
        <v>9524.1843276403943</v>
      </c>
      <c r="AF81" s="75">
        <f t="shared" si="30"/>
        <v>23215.199298623462</v>
      </c>
      <c r="AG81" s="61">
        <f t="shared" si="31"/>
        <v>52658.465947162062</v>
      </c>
      <c r="AH81" s="60">
        <f>'Combined Admin'!D80</f>
        <v>17500</v>
      </c>
      <c r="AI81" s="60">
        <f t="shared" si="18"/>
        <v>0</v>
      </c>
      <c r="AJ81" s="60">
        <f t="shared" si="32"/>
        <v>17500</v>
      </c>
      <c r="AK81" s="60">
        <f t="shared" si="33"/>
        <v>35158.465947162062</v>
      </c>
      <c r="AL81" s="62">
        <f t="shared" si="19"/>
        <v>1547915.1407850864</v>
      </c>
    </row>
    <row r="82" spans="1:38" x14ac:dyDescent="0.25">
      <c r="A82" s="2">
        <v>75</v>
      </c>
      <c r="B82" s="36">
        <f t="shared" si="20"/>
        <v>7</v>
      </c>
      <c r="C82" s="11">
        <f>C81*(1+VLOOKUP(C$6,Data!$A$3:$G$8,6,0))^(1/12)</f>
        <v>5135.0773783760869</v>
      </c>
      <c r="D82" s="59">
        <f>C82*VLOOKUP(C$6,Data!$A$4:$G$8,3,FALSE)</f>
        <v>2567.5386891880435</v>
      </c>
      <c r="E82" s="37">
        <f>VLOOKUP(C$6,Data!$A$3:$G$8,5,FALSE)+IF($B82=refund_inc_year,refund_inc,0)</f>
        <v>7.0000000000000007E-2</v>
      </c>
      <c r="F82" s="58">
        <f t="shared" si="21"/>
        <v>359.4554164863261</v>
      </c>
      <c r="G82" s="75">
        <f>F82*VLOOKUP(C$6,Data!$A$4:$G$8,2,FALSE)</f>
        <v>1797.2770824316306</v>
      </c>
      <c r="H82" s="75">
        <f t="shared" si="22"/>
        <v>770.2616067564129</v>
      </c>
      <c r="I82" s="11">
        <f>I81*(1+VLOOKUP(I$6,Data!$A$3:$G$8,6,0))^(1/12)</f>
        <v>9617.2668814828085</v>
      </c>
      <c r="J82" s="59">
        <f>I82*VLOOKUP(I$6,Data!$A$4:$G$8,3,FALSE)</f>
        <v>2885.1800644448426</v>
      </c>
      <c r="K82" s="37">
        <f>VLOOKUP(I$6,Data!$A$3:$G$8,5,FALSE)+IF($B82=refund_inc_year,refund_inc,0)</f>
        <v>0.06</v>
      </c>
      <c r="L82" s="58">
        <f t="shared" si="23"/>
        <v>577.03601288896846</v>
      </c>
      <c r="M82" s="75">
        <f>L82*VLOOKUP(I$6,Data!$A$4:$G$8,2,FALSE)</f>
        <v>3462.216077333811</v>
      </c>
      <c r="N82" s="75">
        <f t="shared" si="24"/>
        <v>-577.03601288896834</v>
      </c>
      <c r="O82" s="11">
        <f>O81*(1+VLOOKUP(O$6,Data!$A$3:$G$8,6,0))^(1/12)</f>
        <v>10383.009639067695</v>
      </c>
      <c r="P82" s="59">
        <f>O82*VLOOKUP(O$6,Data!$A$4:$G$8,3,FALSE)</f>
        <v>10383.009639067695</v>
      </c>
      <c r="Q82" s="37">
        <f>VLOOKUP(O$6,Data!$A$3:$G$8,5,FALSE)+IF($B82=refund_inc_year,refund_inc,0)</f>
        <v>0.05</v>
      </c>
      <c r="R82" s="58">
        <f t="shared" si="25"/>
        <v>519.15048195338477</v>
      </c>
      <c r="S82" s="75">
        <f>R82*VLOOKUP(O$6,Data!$A$4:$G$8,2,FALSE)</f>
        <v>3893.6286146503858</v>
      </c>
      <c r="T82" s="75">
        <f t="shared" si="26"/>
        <v>6489.3810244173092</v>
      </c>
      <c r="U82" s="11">
        <f>U81*(1+VLOOKUP(U$6,Data!$A$3:$G$8,6,0))^(1/12)</f>
        <v>11981.847216210872</v>
      </c>
      <c r="V82" s="59">
        <f>U82*VLOOKUP(U$6,Data!$A$4:$G$8,3,FALSE)</f>
        <v>29954.618040527181</v>
      </c>
      <c r="W82" s="37">
        <f>VLOOKUP(U$6,Data!$A$3:$G$8,5,FALSE)+IF($B82=refund_inc_year,refund_inc,0)</f>
        <v>7.0000000000000007E-2</v>
      </c>
      <c r="X82" s="58">
        <f t="shared" si="27"/>
        <v>838.72930513476115</v>
      </c>
      <c r="Y82" s="75">
        <f>X82*VLOOKUP(U$6,Data!$A$4:$G$8,2,FALSE)</f>
        <v>7129.1990936454695</v>
      </c>
      <c r="Z82" s="75">
        <f t="shared" si="28"/>
        <v>22825.418946881713</v>
      </c>
      <c r="AA82" s="11">
        <f>AA81*(1+VLOOKUP(AA$6,Data!$A$3:$G$8,6,0))^(1/12)</f>
        <v>11934.591919441878</v>
      </c>
      <c r="AB82" s="59">
        <f>AA82*VLOOKUP(AA$6,Data!$A$4:$G$8,3,FALSE)</f>
        <v>32820.127778465168</v>
      </c>
      <c r="AC82" s="37">
        <f>VLOOKUP(AA$6,Data!$A$3:$G$8,5,FALSE)+IF($B82=refund_inc_year,refund_inc,0)</f>
        <v>0.08</v>
      </c>
      <c r="AD82" s="58">
        <f t="shared" si="29"/>
        <v>954.76735355535027</v>
      </c>
      <c r="AE82" s="75">
        <f>AD82*VLOOKUP(AA$6,Data!$A$4:$G$8,2,FALSE)</f>
        <v>9547.673535553502</v>
      </c>
      <c r="AF82" s="75">
        <f t="shared" si="30"/>
        <v>23272.454242911666</v>
      </c>
      <c r="AG82" s="61">
        <f t="shared" si="31"/>
        <v>52780.479808078133</v>
      </c>
      <c r="AH82" s="60">
        <f>'Combined Admin'!D81</f>
        <v>17500</v>
      </c>
      <c r="AI82" s="60">
        <f t="shared" si="18"/>
        <v>0</v>
      </c>
      <c r="AJ82" s="60">
        <f t="shared" si="32"/>
        <v>17500</v>
      </c>
      <c r="AK82" s="60">
        <f t="shared" si="33"/>
        <v>35280.479808078133</v>
      </c>
      <c r="AL82" s="62">
        <f t="shared" si="19"/>
        <v>1522113.6965204452</v>
      </c>
    </row>
    <row r="83" spans="1:38" x14ac:dyDescent="0.25">
      <c r="A83" s="2">
        <v>76</v>
      </c>
      <c r="B83" s="36">
        <f t="shared" si="20"/>
        <v>7</v>
      </c>
      <c r="C83" s="11">
        <f>C82*(1+VLOOKUP(C$6,Data!$A$3:$G$8,6,0))^(1/12)</f>
        <v>5143.5583761581265</v>
      </c>
      <c r="D83" s="59">
        <f>C83*VLOOKUP(C$6,Data!$A$4:$G$8,3,FALSE)</f>
        <v>2571.7791880790633</v>
      </c>
      <c r="E83" s="37">
        <f>VLOOKUP(C$6,Data!$A$3:$G$8,5,FALSE)+IF($B83=refund_inc_year,refund_inc,0)</f>
        <v>7.0000000000000007E-2</v>
      </c>
      <c r="F83" s="58">
        <f t="shared" si="21"/>
        <v>360.04908633106891</v>
      </c>
      <c r="G83" s="75">
        <f>F83*VLOOKUP(C$6,Data!$A$4:$G$8,2,FALSE)</f>
        <v>1800.2454316553444</v>
      </c>
      <c r="H83" s="75">
        <f t="shared" si="22"/>
        <v>771.53375642371884</v>
      </c>
      <c r="I83" s="11">
        <f>I82*(1+VLOOKUP(I$6,Data!$A$3:$G$8,6,0))^(1/12)</f>
        <v>9625.2447709168373</v>
      </c>
      <c r="J83" s="59">
        <f>I83*VLOOKUP(I$6,Data!$A$4:$G$8,3,FALSE)</f>
        <v>2887.573431275051</v>
      </c>
      <c r="K83" s="37">
        <f>VLOOKUP(I$6,Data!$A$3:$G$8,5,FALSE)+IF($B83=refund_inc_year,refund_inc,0)</f>
        <v>0.06</v>
      </c>
      <c r="L83" s="58">
        <f t="shared" si="23"/>
        <v>577.51468625501025</v>
      </c>
      <c r="M83" s="75">
        <f>L83*VLOOKUP(I$6,Data!$A$4:$G$8,2,FALSE)</f>
        <v>3465.0881175300615</v>
      </c>
      <c r="N83" s="75">
        <f t="shared" si="24"/>
        <v>-577.51468625501047</v>
      </c>
      <c r="O83" s="11">
        <f>O82*(1+VLOOKUP(O$6,Data!$A$3:$G$8,6,0))^(1/12)</f>
        <v>10425.311305584071</v>
      </c>
      <c r="P83" s="59">
        <f>O83*VLOOKUP(O$6,Data!$A$4:$G$8,3,FALSE)</f>
        <v>10425.311305584071</v>
      </c>
      <c r="Q83" s="37">
        <f>VLOOKUP(O$6,Data!$A$3:$G$8,5,FALSE)+IF($B83=refund_inc_year,refund_inc,0)</f>
        <v>0.05</v>
      </c>
      <c r="R83" s="58">
        <f t="shared" si="25"/>
        <v>521.26556527920354</v>
      </c>
      <c r="S83" s="75">
        <f>R83*VLOOKUP(O$6,Data!$A$4:$G$8,2,FALSE)</f>
        <v>3909.4917395940265</v>
      </c>
      <c r="T83" s="75">
        <f t="shared" si="26"/>
        <v>6515.8195659900448</v>
      </c>
      <c r="U83" s="11">
        <f>U82*(1+VLOOKUP(U$6,Data!$A$3:$G$8,6,0))^(1/12)</f>
        <v>12001.636211035631</v>
      </c>
      <c r="V83" s="59">
        <f>U83*VLOOKUP(U$6,Data!$A$4:$G$8,3,FALSE)</f>
        <v>30004.090527589076</v>
      </c>
      <c r="W83" s="37">
        <f>VLOOKUP(U$6,Data!$A$3:$G$8,5,FALSE)+IF($B83=refund_inc_year,refund_inc,0)</f>
        <v>7.0000000000000007E-2</v>
      </c>
      <c r="X83" s="58">
        <f t="shared" si="27"/>
        <v>840.11453477249427</v>
      </c>
      <c r="Y83" s="75">
        <f>X83*VLOOKUP(U$6,Data!$A$4:$G$8,2,FALSE)</f>
        <v>7140.9735455662012</v>
      </c>
      <c r="Z83" s="75">
        <f t="shared" si="28"/>
        <v>22863.116982022875</v>
      </c>
      <c r="AA83" s="11">
        <f>AA82*(1+VLOOKUP(AA$6,Data!$A$3:$G$8,6,0))^(1/12)</f>
        <v>11964.025842737577</v>
      </c>
      <c r="AB83" s="59">
        <f>AA83*VLOOKUP(AA$6,Data!$A$4:$G$8,3,FALSE)</f>
        <v>32901.071067528341</v>
      </c>
      <c r="AC83" s="37">
        <f>VLOOKUP(AA$6,Data!$A$3:$G$8,5,FALSE)+IF($B83=refund_inc_year,refund_inc,0)</f>
        <v>0.08</v>
      </c>
      <c r="AD83" s="58">
        <f t="shared" si="29"/>
        <v>957.12206741900627</v>
      </c>
      <c r="AE83" s="75">
        <f>AD83*VLOOKUP(AA$6,Data!$A$4:$G$8,2,FALSE)</f>
        <v>9571.2206741900627</v>
      </c>
      <c r="AF83" s="75">
        <f t="shared" si="30"/>
        <v>23329.850393338278</v>
      </c>
      <c r="AG83" s="61">
        <f t="shared" si="31"/>
        <v>52902.806011519904</v>
      </c>
      <c r="AH83" s="60">
        <f>'Combined Admin'!D82</f>
        <v>17500</v>
      </c>
      <c r="AI83" s="60">
        <f t="shared" si="18"/>
        <v>0</v>
      </c>
      <c r="AJ83" s="60">
        <f t="shared" si="32"/>
        <v>17500</v>
      </c>
      <c r="AK83" s="60">
        <f t="shared" si="33"/>
        <v>35402.806011519904</v>
      </c>
      <c r="AL83" s="62">
        <f t="shared" si="19"/>
        <v>1496034.2707535985</v>
      </c>
    </row>
    <row r="84" spans="1:38" x14ac:dyDescent="0.25">
      <c r="A84" s="2">
        <v>77</v>
      </c>
      <c r="B84" s="36">
        <f t="shared" si="20"/>
        <v>7</v>
      </c>
      <c r="C84" s="11">
        <f>C83*(1+VLOOKUP(C$6,Data!$A$3:$G$8,6,0))^(1/12)</f>
        <v>5152.0533809975241</v>
      </c>
      <c r="D84" s="59">
        <f>C84*VLOOKUP(C$6,Data!$A$4:$G$8,3,FALSE)</f>
        <v>2576.026690498762</v>
      </c>
      <c r="E84" s="37">
        <f>VLOOKUP(C$6,Data!$A$3:$G$8,5,FALSE)+IF($B84=refund_inc_year,refund_inc,0)</f>
        <v>7.0000000000000007E-2</v>
      </c>
      <c r="F84" s="58">
        <f t="shared" si="21"/>
        <v>360.64373666982669</v>
      </c>
      <c r="G84" s="75">
        <f>F84*VLOOKUP(C$6,Data!$A$4:$G$8,2,FALSE)</f>
        <v>1803.2186833491335</v>
      </c>
      <c r="H84" s="75">
        <f t="shared" si="22"/>
        <v>772.80800714962857</v>
      </c>
      <c r="I84" s="11">
        <f>I83*(1+VLOOKUP(I$6,Data!$A$3:$G$8,6,0))^(1/12)</f>
        <v>9633.2292783142238</v>
      </c>
      <c r="J84" s="59">
        <f>I84*VLOOKUP(I$6,Data!$A$4:$G$8,3,FALSE)</f>
        <v>2889.968783494267</v>
      </c>
      <c r="K84" s="37">
        <f>VLOOKUP(I$6,Data!$A$3:$G$8,5,FALSE)+IF($B84=refund_inc_year,refund_inc,0)</f>
        <v>0.06</v>
      </c>
      <c r="L84" s="58">
        <f t="shared" si="23"/>
        <v>577.99375669885342</v>
      </c>
      <c r="M84" s="75">
        <f>L84*VLOOKUP(I$6,Data!$A$4:$G$8,2,FALSE)</f>
        <v>3467.9625401931207</v>
      </c>
      <c r="N84" s="75">
        <f t="shared" si="24"/>
        <v>-577.99375669885376</v>
      </c>
      <c r="O84" s="11">
        <f>O83*(1+VLOOKUP(O$6,Data!$A$3:$G$8,6,0))^(1/12)</f>
        <v>10467.785314326089</v>
      </c>
      <c r="P84" s="59">
        <f>O84*VLOOKUP(O$6,Data!$A$4:$G$8,3,FALSE)</f>
        <v>10467.785314326089</v>
      </c>
      <c r="Q84" s="37">
        <f>VLOOKUP(O$6,Data!$A$3:$G$8,5,FALSE)+IF($B84=refund_inc_year,refund_inc,0)</f>
        <v>0.05</v>
      </c>
      <c r="R84" s="58">
        <f t="shared" si="25"/>
        <v>523.38926571630452</v>
      </c>
      <c r="S84" s="75">
        <f>R84*VLOOKUP(O$6,Data!$A$4:$G$8,2,FALSE)</f>
        <v>3925.4194928722841</v>
      </c>
      <c r="T84" s="75">
        <f t="shared" si="26"/>
        <v>6542.3658214538045</v>
      </c>
      <c r="U84" s="11">
        <f>U83*(1+VLOOKUP(U$6,Data!$A$3:$G$8,6,0))^(1/12)</f>
        <v>12021.457888994226</v>
      </c>
      <c r="V84" s="59">
        <f>U84*VLOOKUP(U$6,Data!$A$4:$G$8,3,FALSE)</f>
        <v>30053.644722485566</v>
      </c>
      <c r="W84" s="37">
        <f>VLOOKUP(U$6,Data!$A$3:$G$8,5,FALSE)+IF($B84=refund_inc_year,refund_inc,0)</f>
        <v>7.0000000000000007E-2</v>
      </c>
      <c r="X84" s="58">
        <f t="shared" si="27"/>
        <v>841.50205222959585</v>
      </c>
      <c r="Y84" s="75">
        <f>X84*VLOOKUP(U$6,Data!$A$4:$G$8,2,FALSE)</f>
        <v>7152.7674439515649</v>
      </c>
      <c r="Z84" s="75">
        <f t="shared" si="28"/>
        <v>22900.877278534001</v>
      </c>
      <c r="AA84" s="11">
        <f>AA83*(1+VLOOKUP(AA$6,Data!$A$3:$G$8,6,0))^(1/12)</f>
        <v>11993.532358028582</v>
      </c>
      <c r="AB84" s="59">
        <f>AA84*VLOOKUP(AA$6,Data!$A$4:$G$8,3,FALSE)</f>
        <v>32982.213984578601</v>
      </c>
      <c r="AC84" s="37">
        <f>VLOOKUP(AA$6,Data!$A$3:$G$8,5,FALSE)+IF($B84=refund_inc_year,refund_inc,0)</f>
        <v>0.08</v>
      </c>
      <c r="AD84" s="58">
        <f t="shared" si="29"/>
        <v>959.4825886422866</v>
      </c>
      <c r="AE84" s="75">
        <f>AD84*VLOOKUP(AA$6,Data!$A$4:$G$8,2,FALSE)</f>
        <v>9594.8258864228665</v>
      </c>
      <c r="AF84" s="75">
        <f t="shared" si="30"/>
        <v>23387.388098155734</v>
      </c>
      <c r="AG84" s="61">
        <f t="shared" si="31"/>
        <v>53025.445448594313</v>
      </c>
      <c r="AH84" s="60">
        <f>'Combined Admin'!D83</f>
        <v>17500</v>
      </c>
      <c r="AI84" s="60">
        <f t="shared" si="18"/>
        <v>0</v>
      </c>
      <c r="AJ84" s="60">
        <f t="shared" si="32"/>
        <v>17500</v>
      </c>
      <c r="AK84" s="60">
        <f t="shared" si="33"/>
        <v>35525.445448594313</v>
      </c>
      <c r="AL84" s="62">
        <f t="shared" si="19"/>
        <v>1469674.8707663496</v>
      </c>
    </row>
    <row r="85" spans="1:38" x14ac:dyDescent="0.25">
      <c r="A85" s="2">
        <v>78</v>
      </c>
      <c r="B85" s="36">
        <f t="shared" si="20"/>
        <v>7</v>
      </c>
      <c r="C85" s="11">
        <f>C84*(1+VLOOKUP(C$6,Data!$A$3:$G$8,6,0))^(1/12)</f>
        <v>5160.562416028074</v>
      </c>
      <c r="D85" s="59">
        <f>C85*VLOOKUP(C$6,Data!$A$4:$G$8,3,FALSE)</f>
        <v>2580.281208014037</v>
      </c>
      <c r="E85" s="37">
        <f>VLOOKUP(C$6,Data!$A$3:$G$8,5,FALSE)+IF($B85=refund_inc_year,refund_inc,0)</f>
        <v>7.0000000000000007E-2</v>
      </c>
      <c r="F85" s="58">
        <f t="shared" si="21"/>
        <v>361.23936912196524</v>
      </c>
      <c r="G85" s="75">
        <f>F85*VLOOKUP(C$6,Data!$A$4:$G$8,2,FALSE)</f>
        <v>1806.1968456098261</v>
      </c>
      <c r="H85" s="75">
        <f t="shared" si="22"/>
        <v>774.08436240421088</v>
      </c>
      <c r="I85" s="11">
        <f>I84*(1+VLOOKUP(I$6,Data!$A$3:$G$8,6,0))^(1/12)</f>
        <v>9641.22040916482</v>
      </c>
      <c r="J85" s="59">
        <f>I85*VLOOKUP(I$6,Data!$A$4:$G$8,3,FALSE)</f>
        <v>2892.3661227494458</v>
      </c>
      <c r="K85" s="37">
        <f>VLOOKUP(I$6,Data!$A$3:$G$8,5,FALSE)+IF($B85=refund_inc_year,refund_inc,0)</f>
        <v>0.06</v>
      </c>
      <c r="L85" s="58">
        <f t="shared" si="23"/>
        <v>578.47322454988921</v>
      </c>
      <c r="M85" s="75">
        <f>L85*VLOOKUP(I$6,Data!$A$4:$G$8,2,FALSE)</f>
        <v>3470.8393472993353</v>
      </c>
      <c r="N85" s="75">
        <f t="shared" si="24"/>
        <v>-578.47322454988944</v>
      </c>
      <c r="O85" s="11">
        <f>O84*(1+VLOOKUP(O$6,Data!$A$3:$G$8,6,0))^(1/12)</f>
        <v>10510.43236743731</v>
      </c>
      <c r="P85" s="59">
        <f>O85*VLOOKUP(O$6,Data!$A$4:$G$8,3,FALSE)</f>
        <v>10510.43236743731</v>
      </c>
      <c r="Q85" s="37">
        <f>VLOOKUP(O$6,Data!$A$3:$G$8,5,FALSE)+IF($B85=refund_inc_year,refund_inc,0)</f>
        <v>0.05</v>
      </c>
      <c r="R85" s="58">
        <f t="shared" si="25"/>
        <v>525.52161837186554</v>
      </c>
      <c r="S85" s="75">
        <f>R85*VLOOKUP(O$6,Data!$A$4:$G$8,2,FALSE)</f>
        <v>3941.4121377889915</v>
      </c>
      <c r="T85" s="75">
        <f t="shared" si="26"/>
        <v>6569.0202296483185</v>
      </c>
      <c r="U85" s="11">
        <f>U84*(1+VLOOKUP(U$6,Data!$A$3:$G$8,6,0))^(1/12)</f>
        <v>12041.31230406551</v>
      </c>
      <c r="V85" s="59">
        <f>U85*VLOOKUP(U$6,Data!$A$4:$G$8,3,FALSE)</f>
        <v>30103.280760163776</v>
      </c>
      <c r="W85" s="37">
        <f>VLOOKUP(U$6,Data!$A$3:$G$8,5,FALSE)+IF($B85=refund_inc_year,refund_inc,0)</f>
        <v>7.0000000000000007E-2</v>
      </c>
      <c r="X85" s="58">
        <f t="shared" si="27"/>
        <v>842.89186128458573</v>
      </c>
      <c r="Y85" s="75">
        <f>X85*VLOOKUP(U$6,Data!$A$4:$G$8,2,FALSE)</f>
        <v>7164.580820918979</v>
      </c>
      <c r="Z85" s="75">
        <f t="shared" si="28"/>
        <v>22938.699939244798</v>
      </c>
      <c r="AA85" s="11">
        <f>AA84*(1+VLOOKUP(AA$6,Data!$A$3:$G$8,6,0))^(1/12)</f>
        <v>12023.111644346334</v>
      </c>
      <c r="AB85" s="59">
        <f>AA85*VLOOKUP(AA$6,Data!$A$4:$G$8,3,FALSE)</f>
        <v>33063.557021952416</v>
      </c>
      <c r="AC85" s="37">
        <f>VLOOKUP(AA$6,Data!$A$3:$G$8,5,FALSE)+IF($B85=refund_inc_year,refund_inc,0)</f>
        <v>0.08</v>
      </c>
      <c r="AD85" s="58">
        <f t="shared" si="29"/>
        <v>961.8489315477068</v>
      </c>
      <c r="AE85" s="75">
        <f>AD85*VLOOKUP(AA$6,Data!$A$4:$G$8,2,FALSE)</f>
        <v>9618.4893154770689</v>
      </c>
      <c r="AF85" s="75">
        <f t="shared" si="30"/>
        <v>23445.067706475347</v>
      </c>
      <c r="AG85" s="61">
        <f t="shared" si="31"/>
        <v>53148.399013222785</v>
      </c>
      <c r="AH85" s="60">
        <f>'Combined Admin'!D84</f>
        <v>17500</v>
      </c>
      <c r="AI85" s="60">
        <f t="shared" si="18"/>
        <v>0</v>
      </c>
      <c r="AJ85" s="60">
        <f t="shared" si="32"/>
        <v>17500</v>
      </c>
      <c r="AK85" s="60">
        <f t="shared" si="33"/>
        <v>35648.399013222785</v>
      </c>
      <c r="AL85" s="62">
        <f t="shared" si="19"/>
        <v>1443033.4909035743</v>
      </c>
    </row>
    <row r="86" spans="1:38" x14ac:dyDescent="0.25">
      <c r="A86" s="2">
        <v>79</v>
      </c>
      <c r="B86" s="36">
        <f t="shared" si="20"/>
        <v>7</v>
      </c>
      <c r="C86" s="11">
        <f>C85*(1+VLOOKUP(C$6,Data!$A$3:$G$8,6,0))^(1/12)</f>
        <v>5169.0855044217778</v>
      </c>
      <c r="D86" s="59">
        <f>C86*VLOOKUP(C$6,Data!$A$4:$G$8,3,FALSE)</f>
        <v>2584.5427522108889</v>
      </c>
      <c r="E86" s="37">
        <f>VLOOKUP(C$6,Data!$A$3:$G$8,5,FALSE)+IF($B86=refund_inc_year,refund_inc,0)</f>
        <v>7.0000000000000007E-2</v>
      </c>
      <c r="F86" s="58">
        <f t="shared" si="21"/>
        <v>361.83598530952446</v>
      </c>
      <c r="G86" s="75">
        <f>F86*VLOOKUP(C$6,Data!$A$4:$G$8,2,FALSE)</f>
        <v>1809.1799265476222</v>
      </c>
      <c r="H86" s="75">
        <f t="shared" si="22"/>
        <v>775.36282566326668</v>
      </c>
      <c r="I86" s="11">
        <f>I85*(1+VLOOKUP(I$6,Data!$A$3:$G$8,6,0))^(1/12)</f>
        <v>9649.2181689630343</v>
      </c>
      <c r="J86" s="59">
        <f>I86*VLOOKUP(I$6,Data!$A$4:$G$8,3,FALSE)</f>
        <v>2894.7654506889103</v>
      </c>
      <c r="K86" s="37">
        <f>VLOOKUP(I$6,Data!$A$3:$G$8,5,FALSE)+IF($B86=refund_inc_year,refund_inc,0)</f>
        <v>0.06</v>
      </c>
      <c r="L86" s="58">
        <f t="shared" si="23"/>
        <v>578.95309013778206</v>
      </c>
      <c r="M86" s="75">
        <f>L86*VLOOKUP(I$6,Data!$A$4:$G$8,2,FALSE)</f>
        <v>3473.7185408266923</v>
      </c>
      <c r="N86" s="75">
        <f t="shared" si="24"/>
        <v>-578.95309013778206</v>
      </c>
      <c r="O86" s="11">
        <f>O85*(1+VLOOKUP(O$6,Data!$A$3:$G$8,6,0))^(1/12)</f>
        <v>10553.253169921914</v>
      </c>
      <c r="P86" s="59">
        <f>O86*VLOOKUP(O$6,Data!$A$4:$G$8,3,FALSE)</f>
        <v>10553.253169921914</v>
      </c>
      <c r="Q86" s="37">
        <f>VLOOKUP(O$6,Data!$A$3:$G$8,5,FALSE)+IF($B86=refund_inc_year,refund_inc,0)</f>
        <v>0.05</v>
      </c>
      <c r="R86" s="58">
        <f t="shared" si="25"/>
        <v>527.66265849609579</v>
      </c>
      <c r="S86" s="75">
        <f>R86*VLOOKUP(O$6,Data!$A$4:$G$8,2,FALSE)</f>
        <v>3957.4699387207183</v>
      </c>
      <c r="T86" s="75">
        <f t="shared" si="26"/>
        <v>6595.783231201196</v>
      </c>
      <c r="U86" s="11">
        <f>U85*(1+VLOOKUP(U$6,Data!$A$3:$G$8,6,0))^(1/12)</f>
        <v>12061.199510317487</v>
      </c>
      <c r="V86" s="59">
        <f>U86*VLOOKUP(U$6,Data!$A$4:$G$8,3,FALSE)</f>
        <v>30152.998775793716</v>
      </c>
      <c r="W86" s="37">
        <f>VLOOKUP(U$6,Data!$A$3:$G$8,5,FALSE)+IF($B86=refund_inc_year,refund_inc,0)</f>
        <v>7.0000000000000007E-2</v>
      </c>
      <c r="X86" s="58">
        <f t="shared" si="27"/>
        <v>844.28396572222414</v>
      </c>
      <c r="Y86" s="75">
        <f>X86*VLOOKUP(U$6,Data!$A$4:$G$8,2,FALSE)</f>
        <v>7176.4137086389055</v>
      </c>
      <c r="Z86" s="75">
        <f t="shared" si="28"/>
        <v>22976.585067154811</v>
      </c>
      <c r="AA86" s="11">
        <f>AA85*(1+VLOOKUP(AA$6,Data!$A$3:$G$8,6,0))^(1/12)</f>
        <v>12052.763881163819</v>
      </c>
      <c r="AB86" s="59">
        <f>AA86*VLOOKUP(AA$6,Data!$A$4:$G$8,3,FALSE)</f>
        <v>33145.100673200504</v>
      </c>
      <c r="AC86" s="37">
        <f>VLOOKUP(AA$6,Data!$A$3:$G$8,5,FALSE)+IF($B86=refund_inc_year,refund_inc,0)</f>
        <v>0.08</v>
      </c>
      <c r="AD86" s="58">
        <f t="shared" si="29"/>
        <v>964.22111049310558</v>
      </c>
      <c r="AE86" s="75">
        <f>AD86*VLOOKUP(AA$6,Data!$A$4:$G$8,2,FALSE)</f>
        <v>9642.2111049310552</v>
      </c>
      <c r="AF86" s="75">
        <f t="shared" si="30"/>
        <v>23502.889568269449</v>
      </c>
      <c r="AG86" s="61">
        <f t="shared" si="31"/>
        <v>53271.667602150941</v>
      </c>
      <c r="AH86" s="60">
        <f>'Combined Admin'!D85</f>
        <v>17500</v>
      </c>
      <c r="AI86" s="60">
        <f t="shared" si="18"/>
        <v>0</v>
      </c>
      <c r="AJ86" s="60">
        <f t="shared" si="32"/>
        <v>17500</v>
      </c>
      <c r="AK86" s="60">
        <f t="shared" si="33"/>
        <v>35771.667602150941</v>
      </c>
      <c r="AL86" s="62">
        <f t="shared" si="19"/>
        <v>1416108.1124922044</v>
      </c>
    </row>
    <row r="87" spans="1:38" x14ac:dyDescent="0.25">
      <c r="A87" s="2">
        <v>80</v>
      </c>
      <c r="B87" s="36">
        <f t="shared" si="20"/>
        <v>7</v>
      </c>
      <c r="C87" s="11">
        <f>C86*(1+VLOOKUP(C$6,Data!$A$3:$G$8,6,0))^(1/12)</f>
        <v>5177.6226693889075</v>
      </c>
      <c r="D87" s="59">
        <f>C87*VLOOKUP(C$6,Data!$A$4:$G$8,3,FALSE)</f>
        <v>2588.8113346944538</v>
      </c>
      <c r="E87" s="37">
        <f>VLOOKUP(C$6,Data!$A$3:$G$8,5,FALSE)+IF($B87=refund_inc_year,refund_inc,0)</f>
        <v>7.0000000000000007E-2</v>
      </c>
      <c r="F87" s="58">
        <f t="shared" si="21"/>
        <v>362.43358685722359</v>
      </c>
      <c r="G87" s="75">
        <f>F87*VLOOKUP(C$6,Data!$A$4:$G$8,2,FALSE)</f>
        <v>1812.167934286118</v>
      </c>
      <c r="H87" s="75">
        <f t="shared" si="22"/>
        <v>776.64340040833576</v>
      </c>
      <c r="I87" s="11">
        <f>I86*(1+VLOOKUP(I$6,Data!$A$3:$G$8,6,0))^(1/12)</f>
        <v>9657.2225632078298</v>
      </c>
      <c r="J87" s="59">
        <f>I87*VLOOKUP(I$6,Data!$A$4:$G$8,3,FALSE)</f>
        <v>2897.1667689623487</v>
      </c>
      <c r="K87" s="37">
        <f>VLOOKUP(I$6,Data!$A$3:$G$8,5,FALSE)+IF($B87=refund_inc_year,refund_inc,0)</f>
        <v>0.06</v>
      </c>
      <c r="L87" s="58">
        <f t="shared" si="23"/>
        <v>579.4333537924698</v>
      </c>
      <c r="M87" s="75">
        <f>L87*VLOOKUP(I$6,Data!$A$4:$G$8,2,FALSE)</f>
        <v>3476.6001227548186</v>
      </c>
      <c r="N87" s="75">
        <f t="shared" si="24"/>
        <v>-579.43335379246992</v>
      </c>
      <c r="O87" s="11">
        <f>O86*(1+VLOOKUP(O$6,Data!$A$3:$G$8,6,0))^(1/12)</f>
        <v>10596.248429656356</v>
      </c>
      <c r="P87" s="59">
        <f>O87*VLOOKUP(O$6,Data!$A$4:$G$8,3,FALSE)</f>
        <v>10596.248429656356</v>
      </c>
      <c r="Q87" s="37">
        <f>VLOOKUP(O$6,Data!$A$3:$G$8,5,FALSE)+IF($B87=refund_inc_year,refund_inc,0)</f>
        <v>0.05</v>
      </c>
      <c r="R87" s="58">
        <f t="shared" si="25"/>
        <v>529.81242148281785</v>
      </c>
      <c r="S87" s="75">
        <f>R87*VLOOKUP(O$6,Data!$A$4:$G$8,2,FALSE)</f>
        <v>3973.593161121134</v>
      </c>
      <c r="T87" s="75">
        <f t="shared" si="26"/>
        <v>6622.6552685352217</v>
      </c>
      <c r="U87" s="11">
        <f>U86*(1+VLOOKUP(U$6,Data!$A$3:$G$8,6,0))^(1/12)</f>
        <v>12081.119561907457</v>
      </c>
      <c r="V87" s="59">
        <f>U87*VLOOKUP(U$6,Data!$A$4:$G$8,3,FALSE)</f>
        <v>30202.798904768642</v>
      </c>
      <c r="W87" s="37">
        <f>VLOOKUP(U$6,Data!$A$3:$G$8,5,FALSE)+IF($B87=refund_inc_year,refund_inc,0)</f>
        <v>7.0000000000000007E-2</v>
      </c>
      <c r="X87" s="58">
        <f t="shared" si="27"/>
        <v>845.67836933352203</v>
      </c>
      <c r="Y87" s="75">
        <f>X87*VLOOKUP(U$6,Data!$A$4:$G$8,2,FALSE)</f>
        <v>7188.2661393349372</v>
      </c>
      <c r="Z87" s="75">
        <f t="shared" si="28"/>
        <v>23014.532765433705</v>
      </c>
      <c r="AA87" s="11">
        <f>AA86*(1+VLOOKUP(AA$6,Data!$A$3:$G$8,6,0))^(1/12)</f>
        <v>12082.489248396647</v>
      </c>
      <c r="AB87" s="59">
        <f>AA87*VLOOKUP(AA$6,Data!$A$4:$G$8,3,FALSE)</f>
        <v>33226.845433090777</v>
      </c>
      <c r="AC87" s="37">
        <f>VLOOKUP(AA$6,Data!$A$3:$G$8,5,FALSE)+IF($B87=refund_inc_year,refund_inc,0)</f>
        <v>0.08</v>
      </c>
      <c r="AD87" s="58">
        <f t="shared" si="29"/>
        <v>966.59913987173172</v>
      </c>
      <c r="AE87" s="75">
        <f>AD87*VLOOKUP(AA$6,Data!$A$4:$G$8,2,FALSE)</f>
        <v>9665.9913987173168</v>
      </c>
      <c r="AF87" s="75">
        <f t="shared" si="30"/>
        <v>23560.85403437346</v>
      </c>
      <c r="AG87" s="61">
        <f t="shared" si="31"/>
        <v>53395.252114958254</v>
      </c>
      <c r="AH87" s="60">
        <f>'Combined Admin'!D86</f>
        <v>17500</v>
      </c>
      <c r="AI87" s="60">
        <f t="shared" si="18"/>
        <v>0</v>
      </c>
      <c r="AJ87" s="60">
        <f t="shared" si="32"/>
        <v>17500</v>
      </c>
      <c r="AK87" s="60">
        <f t="shared" si="33"/>
        <v>35895.252114958254</v>
      </c>
      <c r="AL87" s="62">
        <f t="shared" si="19"/>
        <v>1388896.7037597115</v>
      </c>
    </row>
    <row r="88" spans="1:38" x14ac:dyDescent="0.25">
      <c r="A88" s="2">
        <v>81</v>
      </c>
      <c r="B88" s="36">
        <f t="shared" si="20"/>
        <v>7</v>
      </c>
      <c r="C88" s="11">
        <f>C87*(1+VLOOKUP(C$6,Data!$A$3:$G$8,6,0))^(1/12)</f>
        <v>5186.1739341780685</v>
      </c>
      <c r="D88" s="59">
        <f>C88*VLOOKUP(C$6,Data!$A$4:$G$8,3,FALSE)</f>
        <v>2593.0869670890343</v>
      </c>
      <c r="E88" s="37">
        <f>VLOOKUP(C$6,Data!$A$3:$G$8,5,FALSE)+IF($B88=refund_inc_year,refund_inc,0)</f>
        <v>7.0000000000000007E-2</v>
      </c>
      <c r="F88" s="58">
        <f t="shared" si="21"/>
        <v>363.03217539246481</v>
      </c>
      <c r="G88" s="75">
        <f>F88*VLOOKUP(C$6,Data!$A$4:$G$8,2,FALSE)</f>
        <v>1815.160876962324</v>
      </c>
      <c r="H88" s="75">
        <f t="shared" si="22"/>
        <v>777.92609012671028</v>
      </c>
      <c r="I88" s="11">
        <f>I87*(1+VLOOKUP(I$6,Data!$A$3:$G$8,6,0))^(1/12)</f>
        <v>9665.2335974027337</v>
      </c>
      <c r="J88" s="59">
        <f>I88*VLOOKUP(I$6,Data!$A$4:$G$8,3,FALSE)</f>
        <v>2899.5700792208199</v>
      </c>
      <c r="K88" s="37">
        <f>VLOOKUP(I$6,Data!$A$3:$G$8,5,FALSE)+IF($B88=refund_inc_year,refund_inc,0)</f>
        <v>0.06</v>
      </c>
      <c r="L88" s="58">
        <f t="shared" si="23"/>
        <v>579.91401584416406</v>
      </c>
      <c r="M88" s="75">
        <f>L88*VLOOKUP(I$6,Data!$A$4:$G$8,2,FALSE)</f>
        <v>3479.4840950649841</v>
      </c>
      <c r="N88" s="75">
        <f t="shared" si="24"/>
        <v>-579.91401584416417</v>
      </c>
      <c r="O88" s="11">
        <f>O87*(1+VLOOKUP(O$6,Data!$A$3:$G$8,6,0))^(1/12)</f>
        <v>10639.418857401066</v>
      </c>
      <c r="P88" s="59">
        <f>O88*VLOOKUP(O$6,Data!$A$4:$G$8,3,FALSE)</f>
        <v>10639.418857401066</v>
      </c>
      <c r="Q88" s="37">
        <f>VLOOKUP(O$6,Data!$A$3:$G$8,5,FALSE)+IF($B88=refund_inc_year,refund_inc,0)</f>
        <v>0.05</v>
      </c>
      <c r="R88" s="58">
        <f t="shared" si="25"/>
        <v>531.97094287005336</v>
      </c>
      <c r="S88" s="75">
        <f>R88*VLOOKUP(O$6,Data!$A$4:$G$8,2,FALSE)</f>
        <v>3989.7820715254002</v>
      </c>
      <c r="T88" s="75">
        <f t="shared" si="26"/>
        <v>6649.6367858756657</v>
      </c>
      <c r="U88" s="11">
        <f>U87*(1+VLOOKUP(U$6,Data!$A$3:$G$8,6,0))^(1/12)</f>
        <v>12101.072513082167</v>
      </c>
      <c r="V88" s="59">
        <f>U88*VLOOKUP(U$6,Data!$A$4:$G$8,3,FALSE)</f>
        <v>30252.681282705416</v>
      </c>
      <c r="W88" s="37">
        <f>VLOOKUP(U$6,Data!$A$3:$G$8,5,FALSE)+IF($B88=refund_inc_year,refund_inc,0)</f>
        <v>7.0000000000000007E-2</v>
      </c>
      <c r="X88" s="58">
        <f t="shared" si="27"/>
        <v>847.07507591575177</v>
      </c>
      <c r="Y88" s="75">
        <f>X88*VLOOKUP(U$6,Data!$A$4:$G$8,2,FALSE)</f>
        <v>7200.1381452838905</v>
      </c>
      <c r="Z88" s="75">
        <f t="shared" si="28"/>
        <v>23052.543137421526</v>
      </c>
      <c r="AA88" s="11">
        <f>AA87*(1+VLOOKUP(AA$6,Data!$A$3:$G$8,6,0))^(1/12)</f>
        <v>12112.287926404151</v>
      </c>
      <c r="AB88" s="59">
        <f>AA88*VLOOKUP(AA$6,Data!$A$4:$G$8,3,FALSE)</f>
        <v>33308.791797611419</v>
      </c>
      <c r="AC88" s="37">
        <f>VLOOKUP(AA$6,Data!$A$3:$G$8,5,FALSE)+IF($B88=refund_inc_year,refund_inc,0)</f>
        <v>0.08</v>
      </c>
      <c r="AD88" s="58">
        <f t="shared" si="29"/>
        <v>968.98303411233212</v>
      </c>
      <c r="AE88" s="75">
        <f>AD88*VLOOKUP(AA$6,Data!$A$4:$G$8,2,FALSE)</f>
        <v>9689.830341123321</v>
      </c>
      <c r="AF88" s="75">
        <f t="shared" si="30"/>
        <v>23618.961456488098</v>
      </c>
      <c r="AG88" s="61">
        <f t="shared" si="31"/>
        <v>53519.153454067833</v>
      </c>
      <c r="AH88" s="60">
        <f>'Combined Admin'!D87</f>
        <v>17500</v>
      </c>
      <c r="AI88" s="60">
        <f t="shared" si="18"/>
        <v>0</v>
      </c>
      <c r="AJ88" s="60">
        <f t="shared" si="32"/>
        <v>17500</v>
      </c>
      <c r="AK88" s="60">
        <f t="shared" si="33"/>
        <v>36019.153454067833</v>
      </c>
      <c r="AL88" s="62">
        <f t="shared" si="19"/>
        <v>1361397.2197520863</v>
      </c>
    </row>
    <row r="89" spans="1:38" x14ac:dyDescent="0.25">
      <c r="A89" s="2">
        <v>82</v>
      </c>
      <c r="B89" s="36">
        <f t="shared" si="20"/>
        <v>7</v>
      </c>
      <c r="C89" s="11">
        <f>C88*(1+VLOOKUP(C$6,Data!$A$3:$G$8,6,0))^(1/12)</f>
        <v>5194.7393220762633</v>
      </c>
      <c r="D89" s="59">
        <f>C89*VLOOKUP(C$6,Data!$A$4:$G$8,3,FALSE)</f>
        <v>2597.3696610381317</v>
      </c>
      <c r="E89" s="37">
        <f>VLOOKUP(C$6,Data!$A$3:$G$8,5,FALSE)+IF($B89=refund_inc_year,refund_inc,0)</f>
        <v>7.0000000000000007E-2</v>
      </c>
      <c r="F89" s="58">
        <f t="shared" si="21"/>
        <v>363.63175254533849</v>
      </c>
      <c r="G89" s="75">
        <f>F89*VLOOKUP(C$6,Data!$A$4:$G$8,2,FALSE)</f>
        <v>1818.1587627266924</v>
      </c>
      <c r="H89" s="75">
        <f t="shared" si="22"/>
        <v>779.21089831143922</v>
      </c>
      <c r="I89" s="11">
        <f>I88*(1+VLOOKUP(I$6,Data!$A$3:$G$8,6,0))^(1/12)</f>
        <v>9673.2512770558387</v>
      </c>
      <c r="J89" s="59">
        <f>I89*VLOOKUP(I$6,Data!$A$4:$G$8,3,FALSE)</f>
        <v>2901.9753831167513</v>
      </c>
      <c r="K89" s="37">
        <f>VLOOKUP(I$6,Data!$A$3:$G$8,5,FALSE)+IF($B89=refund_inc_year,refund_inc,0)</f>
        <v>0.06</v>
      </c>
      <c r="L89" s="58">
        <f t="shared" si="23"/>
        <v>580.39507662335029</v>
      </c>
      <c r="M89" s="75">
        <f>L89*VLOOKUP(I$6,Data!$A$4:$G$8,2,FALSE)</f>
        <v>3482.370459740102</v>
      </c>
      <c r="N89" s="75">
        <f t="shared" si="24"/>
        <v>-580.39507662335063</v>
      </c>
      <c r="O89" s="11">
        <f>O88*(1+VLOOKUP(O$6,Data!$A$3:$G$8,6,0))^(1/12)</f>
        <v>10682.7651668122</v>
      </c>
      <c r="P89" s="59">
        <f>O89*VLOOKUP(O$6,Data!$A$4:$G$8,3,FALSE)</f>
        <v>10682.7651668122</v>
      </c>
      <c r="Q89" s="37">
        <f>VLOOKUP(O$6,Data!$A$3:$G$8,5,FALSE)+IF($B89=refund_inc_year,refund_inc,0)</f>
        <v>0.05</v>
      </c>
      <c r="R89" s="58">
        <f t="shared" si="25"/>
        <v>534.13825834061004</v>
      </c>
      <c r="S89" s="75">
        <f>R89*VLOOKUP(O$6,Data!$A$4:$G$8,2,FALSE)</f>
        <v>4006.0369375545752</v>
      </c>
      <c r="T89" s="75">
        <f t="shared" si="26"/>
        <v>6676.7282292576247</v>
      </c>
      <c r="U89" s="11">
        <f>U88*(1+VLOOKUP(U$6,Data!$A$3:$G$8,6,0))^(1/12)</f>
        <v>12121.058418177954</v>
      </c>
      <c r="V89" s="59">
        <f>U89*VLOOKUP(U$6,Data!$A$4:$G$8,3,FALSE)</f>
        <v>30302.646045444886</v>
      </c>
      <c r="W89" s="37">
        <f>VLOOKUP(U$6,Data!$A$3:$G$8,5,FALSE)+IF($B89=refund_inc_year,refund_inc,0)</f>
        <v>7.0000000000000007E-2</v>
      </c>
      <c r="X89" s="58">
        <f t="shared" si="27"/>
        <v>848.47408927245692</v>
      </c>
      <c r="Y89" s="75">
        <f>X89*VLOOKUP(U$6,Data!$A$4:$G$8,2,FALSE)</f>
        <v>7212.0297588158837</v>
      </c>
      <c r="Z89" s="75">
        <f t="shared" si="28"/>
        <v>23090.616286629003</v>
      </c>
      <c r="AA89" s="11">
        <f>AA88*(1+VLOOKUP(AA$6,Data!$A$3:$G$8,6,0))^(1/12)</f>
        <v>12142.160095990481</v>
      </c>
      <c r="AB89" s="59">
        <f>AA89*VLOOKUP(AA$6,Data!$A$4:$G$8,3,FALSE)</f>
        <v>33390.940263973825</v>
      </c>
      <c r="AC89" s="37">
        <f>VLOOKUP(AA$6,Data!$A$3:$G$8,5,FALSE)+IF($B89=refund_inc_year,refund_inc,0)</f>
        <v>0.08</v>
      </c>
      <c r="AD89" s="58">
        <f t="shared" si="29"/>
        <v>971.37280767923846</v>
      </c>
      <c r="AE89" s="75">
        <f>AD89*VLOOKUP(AA$6,Data!$A$4:$G$8,2,FALSE)</f>
        <v>9713.7280767923839</v>
      </c>
      <c r="AF89" s="75">
        <f t="shared" si="30"/>
        <v>23677.212187181442</v>
      </c>
      <c r="AG89" s="61">
        <f t="shared" si="31"/>
        <v>53643.372524756152</v>
      </c>
      <c r="AH89" s="60">
        <f>'Combined Admin'!D88</f>
        <v>17500</v>
      </c>
      <c r="AI89" s="60">
        <f t="shared" si="18"/>
        <v>0</v>
      </c>
      <c r="AJ89" s="60">
        <f t="shared" si="32"/>
        <v>17500</v>
      </c>
      <c r="AK89" s="60">
        <f t="shared" si="33"/>
        <v>36143.372524756152</v>
      </c>
      <c r="AL89" s="62">
        <f t="shared" si="19"/>
        <v>1333607.6022513157</v>
      </c>
    </row>
    <row r="90" spans="1:38" x14ac:dyDescent="0.25">
      <c r="A90" s="2">
        <v>83</v>
      </c>
      <c r="B90" s="36">
        <f t="shared" si="20"/>
        <v>7</v>
      </c>
      <c r="C90" s="11">
        <f>C89*(1+VLOOKUP(C$6,Data!$A$3:$G$8,6,0))^(1/12)</f>
        <v>5203.3188564089542</v>
      </c>
      <c r="D90" s="59">
        <f>C90*VLOOKUP(C$6,Data!$A$4:$G$8,3,FALSE)</f>
        <v>2601.6594282044771</v>
      </c>
      <c r="E90" s="37">
        <f>VLOOKUP(C$6,Data!$A$3:$G$8,5,FALSE)+IF($B90=refund_inc_year,refund_inc,0)</f>
        <v>7.0000000000000007E-2</v>
      </c>
      <c r="F90" s="58">
        <f t="shared" si="21"/>
        <v>364.23231994862681</v>
      </c>
      <c r="G90" s="75">
        <f>F90*VLOOKUP(C$6,Data!$A$4:$G$8,2,FALSE)</f>
        <v>1821.161599743134</v>
      </c>
      <c r="H90" s="75">
        <f t="shared" si="22"/>
        <v>780.49782846134303</v>
      </c>
      <c r="I90" s="11">
        <f>I89*(1+VLOOKUP(I$6,Data!$A$3:$G$8,6,0))^(1/12)</f>
        <v>9681.275607679805</v>
      </c>
      <c r="J90" s="59">
        <f>I90*VLOOKUP(I$6,Data!$A$4:$G$8,3,FALSE)</f>
        <v>2904.3826823039412</v>
      </c>
      <c r="K90" s="37">
        <f>VLOOKUP(I$6,Data!$A$3:$G$8,5,FALSE)+IF($B90=refund_inc_year,refund_inc,0)</f>
        <v>0.06</v>
      </c>
      <c r="L90" s="58">
        <f t="shared" si="23"/>
        <v>580.87653646078832</v>
      </c>
      <c r="M90" s="75">
        <f>L90*VLOOKUP(I$6,Data!$A$4:$G$8,2,FALSE)</f>
        <v>3485.2592187647297</v>
      </c>
      <c r="N90" s="75">
        <f t="shared" si="24"/>
        <v>-580.87653646078843</v>
      </c>
      <c r="O90" s="11">
        <f>O89*(1+VLOOKUP(O$6,Data!$A$3:$G$8,6,0))^(1/12)</f>
        <v>10726.28807445344</v>
      </c>
      <c r="P90" s="59">
        <f>O90*VLOOKUP(O$6,Data!$A$4:$G$8,3,FALSE)</f>
        <v>10726.28807445344</v>
      </c>
      <c r="Q90" s="37">
        <f>VLOOKUP(O$6,Data!$A$3:$G$8,5,FALSE)+IF($B90=refund_inc_year,refund_inc,0)</f>
        <v>0.05</v>
      </c>
      <c r="R90" s="58">
        <f t="shared" si="25"/>
        <v>536.31440372267195</v>
      </c>
      <c r="S90" s="75">
        <f>R90*VLOOKUP(O$6,Data!$A$4:$G$8,2,FALSE)</f>
        <v>4022.3580279200396</v>
      </c>
      <c r="T90" s="75">
        <f t="shared" si="26"/>
        <v>6703.9300465333999</v>
      </c>
      <c r="U90" s="11">
        <f>U89*(1+VLOOKUP(U$6,Data!$A$3:$G$8,6,0))^(1/12)</f>
        <v>12141.0773316209</v>
      </c>
      <c r="V90" s="59">
        <f>U90*VLOOKUP(U$6,Data!$A$4:$G$8,3,FALSE)</f>
        <v>30352.69332905225</v>
      </c>
      <c r="W90" s="37">
        <f>VLOOKUP(U$6,Data!$A$3:$G$8,5,FALSE)+IF($B90=refund_inc_year,refund_inc,0)</f>
        <v>7.0000000000000007E-2</v>
      </c>
      <c r="X90" s="58">
        <f t="shared" si="27"/>
        <v>849.87541321346305</v>
      </c>
      <c r="Y90" s="75">
        <f>X90*VLOOKUP(U$6,Data!$A$4:$G$8,2,FALSE)</f>
        <v>7223.9410123144362</v>
      </c>
      <c r="Z90" s="75">
        <f t="shared" si="28"/>
        <v>23128.752316737813</v>
      </c>
      <c r="AA90" s="11">
        <f>AA89*(1+VLOOKUP(AA$6,Data!$A$3:$G$8,6,0))^(1/12)</f>
        <v>12172.105938405693</v>
      </c>
      <c r="AB90" s="59">
        <f>AA90*VLOOKUP(AA$6,Data!$A$4:$G$8,3,FALSE)</f>
        <v>33473.291330615655</v>
      </c>
      <c r="AC90" s="37">
        <f>VLOOKUP(AA$6,Data!$A$3:$G$8,5,FALSE)+IF($B90=refund_inc_year,refund_inc,0)</f>
        <v>0.08</v>
      </c>
      <c r="AD90" s="58">
        <f t="shared" si="29"/>
        <v>973.76847507245554</v>
      </c>
      <c r="AE90" s="75">
        <f>AD90*VLOOKUP(AA$6,Data!$A$4:$G$8,2,FALSE)</f>
        <v>9737.6847507245548</v>
      </c>
      <c r="AF90" s="75">
        <f t="shared" si="30"/>
        <v>23735.6065798911</v>
      </c>
      <c r="AG90" s="61">
        <f t="shared" si="31"/>
        <v>53767.910235162868</v>
      </c>
      <c r="AH90" s="60">
        <f>'Combined Admin'!D89</f>
        <v>17500</v>
      </c>
      <c r="AI90" s="60">
        <f t="shared" si="18"/>
        <v>0</v>
      </c>
      <c r="AJ90" s="60">
        <f t="shared" si="32"/>
        <v>17500</v>
      </c>
      <c r="AK90" s="60">
        <f t="shared" si="33"/>
        <v>36267.910235162868</v>
      </c>
      <c r="AL90" s="62">
        <f t="shared" si="19"/>
        <v>1305525.7796923486</v>
      </c>
    </row>
    <row r="91" spans="1:38" x14ac:dyDescent="0.25">
      <c r="A91" s="2">
        <v>84</v>
      </c>
      <c r="B91" s="36">
        <f t="shared" si="20"/>
        <v>7</v>
      </c>
      <c r="C91" s="11">
        <f>C90*(1+VLOOKUP(C$6,Data!$A$3:$G$8,6,0))^(1/12)</f>
        <v>5211.9125605401277</v>
      </c>
      <c r="D91" s="59">
        <f>C91*VLOOKUP(C$6,Data!$A$4:$G$8,3,FALSE)</f>
        <v>2605.9562802700639</v>
      </c>
      <c r="E91" s="37">
        <f>VLOOKUP(C$6,Data!$A$3:$G$8,5,FALSE)+IF($B91=refund_inc_year,refund_inc,0)</f>
        <v>7.0000000000000007E-2</v>
      </c>
      <c r="F91" s="58">
        <f t="shared" si="21"/>
        <v>364.83387923780896</v>
      </c>
      <c r="G91" s="75">
        <f>F91*VLOOKUP(C$6,Data!$A$4:$G$8,2,FALSE)</f>
        <v>1824.1693961890448</v>
      </c>
      <c r="H91" s="75">
        <f t="shared" si="22"/>
        <v>781.78688408101902</v>
      </c>
      <c r="I91" s="11">
        <f>I90*(1+VLOOKUP(I$6,Data!$A$3:$G$8,6,0))^(1/12)</f>
        <v>9689.3065947918658</v>
      </c>
      <c r="J91" s="59">
        <f>I91*VLOOKUP(I$6,Data!$A$4:$G$8,3,FALSE)</f>
        <v>2906.7919784375595</v>
      </c>
      <c r="K91" s="37">
        <f>VLOOKUP(I$6,Data!$A$3:$G$8,5,FALSE)+IF($B91=refund_inc_year,refund_inc,0)</f>
        <v>0.06</v>
      </c>
      <c r="L91" s="58">
        <f t="shared" si="23"/>
        <v>581.35839568751192</v>
      </c>
      <c r="M91" s="75">
        <f>L91*VLOOKUP(I$6,Data!$A$4:$G$8,2,FALSE)</f>
        <v>3488.1503741250717</v>
      </c>
      <c r="N91" s="75">
        <f t="shared" si="24"/>
        <v>-581.35839568751226</v>
      </c>
      <c r="O91" s="11">
        <f>O90*(1+VLOOKUP(O$6,Data!$A$3:$G$8,6,0))^(1/12)</f>
        <v>10769.988299807834</v>
      </c>
      <c r="P91" s="59">
        <f>O91*VLOOKUP(O$6,Data!$A$4:$G$8,3,FALSE)</f>
        <v>10769.988299807834</v>
      </c>
      <c r="Q91" s="37">
        <f>VLOOKUP(O$6,Data!$A$3:$G$8,5,FALSE)+IF($B91=refund_inc_year,refund_inc,0)</f>
        <v>0.05</v>
      </c>
      <c r="R91" s="58">
        <f t="shared" si="25"/>
        <v>538.49941499039176</v>
      </c>
      <c r="S91" s="75">
        <f>R91*VLOOKUP(O$6,Data!$A$4:$G$8,2,FALSE)</f>
        <v>4038.7456124279383</v>
      </c>
      <c r="T91" s="75">
        <f t="shared" si="26"/>
        <v>6731.2426873798959</v>
      </c>
      <c r="U91" s="11">
        <f>U90*(1+VLOOKUP(U$6,Data!$A$3:$G$8,6,0))^(1/12)</f>
        <v>12161.129307926973</v>
      </c>
      <c r="V91" s="59">
        <f>U91*VLOOKUP(U$6,Data!$A$4:$G$8,3,FALSE)</f>
        <v>30402.823269817432</v>
      </c>
      <c r="W91" s="37">
        <f>VLOOKUP(U$6,Data!$A$3:$G$8,5,FALSE)+IF($B91=refund_inc_year,refund_inc,0)</f>
        <v>7.0000000000000007E-2</v>
      </c>
      <c r="X91" s="58">
        <f t="shared" si="27"/>
        <v>851.27905155488816</v>
      </c>
      <c r="Y91" s="75">
        <f>X91*VLOOKUP(U$6,Data!$A$4:$G$8,2,FALSE)</f>
        <v>7235.8719382165491</v>
      </c>
      <c r="Z91" s="75">
        <f t="shared" si="28"/>
        <v>23166.951331600882</v>
      </c>
      <c r="AA91" s="11">
        <f>AA90*(1+VLOOKUP(AA$6,Data!$A$3:$G$8,6,0))^(1/12)</f>
        <v>12202.125635346862</v>
      </c>
      <c r="AB91" s="59">
        <f>AA91*VLOOKUP(AA$6,Data!$A$4:$G$8,3,FALSE)</f>
        <v>33555.845497203867</v>
      </c>
      <c r="AC91" s="37">
        <f>VLOOKUP(AA$6,Data!$A$3:$G$8,5,FALSE)+IF($B91=refund_inc_year,refund_inc,0)</f>
        <v>0.08</v>
      </c>
      <c r="AD91" s="58">
        <f t="shared" si="29"/>
        <v>976.17005082774892</v>
      </c>
      <c r="AE91" s="75">
        <f>AD91*VLOOKUP(AA$6,Data!$A$4:$G$8,2,FALSE)</f>
        <v>9761.7005082774886</v>
      </c>
      <c r="AF91" s="75">
        <f t="shared" si="30"/>
        <v>23794.144988926379</v>
      </c>
      <c r="AG91" s="61">
        <f t="shared" si="31"/>
        <v>53892.767496300658</v>
      </c>
      <c r="AH91" s="60">
        <f>'Combined Admin'!D90</f>
        <v>17500</v>
      </c>
      <c r="AI91" s="60">
        <f t="shared" si="18"/>
        <v>0</v>
      </c>
      <c r="AJ91" s="60">
        <f t="shared" si="32"/>
        <v>17500</v>
      </c>
      <c r="AK91" s="60">
        <f t="shared" si="33"/>
        <v>36392.767496300658</v>
      </c>
      <c r="AL91" s="62">
        <f t="shared" si="19"/>
        <v>1277149.6670795514</v>
      </c>
    </row>
    <row r="92" spans="1:38" x14ac:dyDescent="0.25">
      <c r="A92" s="2">
        <v>85</v>
      </c>
      <c r="B92" s="36">
        <f t="shared" si="20"/>
        <v>8</v>
      </c>
      <c r="C92" s="11">
        <f>C91*(1+VLOOKUP(C$6,Data!$A$3:$G$8,6,0))^(1/12)</f>
        <v>5220.5204578723587</v>
      </c>
      <c r="D92" s="59">
        <f>C92*VLOOKUP(C$6,Data!$A$4:$G$8,3,FALSE)</f>
        <v>2610.2602289361794</v>
      </c>
      <c r="E92" s="37">
        <f>VLOOKUP(C$6,Data!$A$3:$G$8,5,FALSE)+IF($B92=refund_inc_year,refund_inc,0)</f>
        <v>7.0000000000000007E-2</v>
      </c>
      <c r="F92" s="58">
        <f t="shared" si="21"/>
        <v>365.43643205106514</v>
      </c>
      <c r="G92" s="75">
        <f>F92*VLOOKUP(C$6,Data!$A$4:$G$8,2,FALSE)</f>
        <v>1827.1821602553257</v>
      </c>
      <c r="H92" s="75">
        <f t="shared" si="22"/>
        <v>783.07806868085368</v>
      </c>
      <c r="I92" s="11">
        <f>I91*(1+VLOOKUP(I$6,Data!$A$3:$G$8,6,0))^(1/12)</f>
        <v>9697.3442439138307</v>
      </c>
      <c r="J92" s="59">
        <f>I92*VLOOKUP(I$6,Data!$A$4:$G$8,3,FALSE)</f>
        <v>2909.2032731741492</v>
      </c>
      <c r="K92" s="37">
        <f>VLOOKUP(I$6,Data!$A$3:$G$8,5,FALSE)+IF($B92=refund_inc_year,refund_inc,0)</f>
        <v>0.06</v>
      </c>
      <c r="L92" s="58">
        <f t="shared" si="23"/>
        <v>581.84065463482978</v>
      </c>
      <c r="M92" s="75">
        <f>L92*VLOOKUP(I$6,Data!$A$4:$G$8,2,FALSE)</f>
        <v>3491.0439278089789</v>
      </c>
      <c r="N92" s="75">
        <f t="shared" si="24"/>
        <v>-581.84065463482966</v>
      </c>
      <c r="O92" s="11">
        <f>O91*(1+VLOOKUP(O$6,Data!$A$3:$G$8,6,0))^(1/12)</f>
        <v>10813.866565289696</v>
      </c>
      <c r="P92" s="59">
        <f>O92*VLOOKUP(O$6,Data!$A$4:$G$8,3,FALSE)</f>
        <v>10813.866565289696</v>
      </c>
      <c r="Q92" s="37">
        <f>VLOOKUP(O$6,Data!$A$3:$G$8,5,FALSE)+IF($B92=refund_inc_year,refund_inc,0)</f>
        <v>0.05</v>
      </c>
      <c r="R92" s="58">
        <f t="shared" si="25"/>
        <v>540.69332826448488</v>
      </c>
      <c r="S92" s="75">
        <f>R92*VLOOKUP(O$6,Data!$A$4:$G$8,2,FALSE)</f>
        <v>4055.1999619836365</v>
      </c>
      <c r="T92" s="75">
        <f t="shared" si="26"/>
        <v>6758.6666033060592</v>
      </c>
      <c r="U92" s="11">
        <f>U91*(1+VLOOKUP(U$6,Data!$A$3:$G$8,6,0))^(1/12)</f>
        <v>12181.214401702178</v>
      </c>
      <c r="V92" s="59">
        <f>U92*VLOOKUP(U$6,Data!$A$4:$G$8,3,FALSE)</f>
        <v>30453.036004255446</v>
      </c>
      <c r="W92" s="37">
        <f>VLOOKUP(U$6,Data!$A$3:$G$8,5,FALSE)+IF($B92=refund_inc_year,refund_inc,0)</f>
        <v>7.0000000000000007E-2</v>
      </c>
      <c r="X92" s="58">
        <f t="shared" si="27"/>
        <v>852.6850081191526</v>
      </c>
      <c r="Y92" s="75">
        <f>X92*VLOOKUP(U$6,Data!$A$4:$G$8,2,FALSE)</f>
        <v>7247.8225690127974</v>
      </c>
      <c r="Z92" s="75">
        <f t="shared" si="28"/>
        <v>23205.213435242647</v>
      </c>
      <c r="AA92" s="11">
        <f>AA91*(1+VLOOKUP(AA$6,Data!$A$3:$G$8,6,0))^(1/12)</f>
        <v>12232.21936895917</v>
      </c>
      <c r="AB92" s="59">
        <f>AA92*VLOOKUP(AA$6,Data!$A$4:$G$8,3,FALSE)</f>
        <v>33638.603264637713</v>
      </c>
      <c r="AC92" s="37">
        <f>VLOOKUP(AA$6,Data!$A$3:$G$8,5,FALSE)+IF($B92=refund_inc_year,refund_inc,0)</f>
        <v>0.08</v>
      </c>
      <c r="AD92" s="58">
        <f t="shared" si="29"/>
        <v>978.5775495167336</v>
      </c>
      <c r="AE92" s="75">
        <f>AD92*VLOOKUP(AA$6,Data!$A$4:$G$8,2,FALSE)</f>
        <v>9785.775495167336</v>
      </c>
      <c r="AF92" s="75">
        <f t="shared" si="30"/>
        <v>23852.827769470379</v>
      </c>
      <c r="AG92" s="61">
        <f t="shared" si="31"/>
        <v>54017.945222065115</v>
      </c>
      <c r="AH92" s="60">
        <f>'Combined Admin'!D91</f>
        <v>17500</v>
      </c>
      <c r="AI92" s="60">
        <f t="shared" si="18"/>
        <v>0</v>
      </c>
      <c r="AJ92" s="60">
        <f t="shared" si="32"/>
        <v>17500</v>
      </c>
      <c r="AK92" s="60">
        <f t="shared" si="33"/>
        <v>36517.945222065115</v>
      </c>
      <c r="AL92" s="62">
        <f t="shared" si="19"/>
        <v>1248477.1659026477</v>
      </c>
    </row>
    <row r="93" spans="1:38" x14ac:dyDescent="0.25">
      <c r="A93" s="2">
        <v>86</v>
      </c>
      <c r="B93" s="36">
        <f t="shared" si="20"/>
        <v>8</v>
      </c>
      <c r="C93" s="11">
        <f>C92*(1+VLOOKUP(C$6,Data!$A$3:$G$8,6,0))^(1/12)</f>
        <v>5229.1425718468727</v>
      </c>
      <c r="D93" s="59">
        <f>C93*VLOOKUP(C$6,Data!$A$4:$G$8,3,FALSE)</f>
        <v>2614.5712859234363</v>
      </c>
      <c r="E93" s="37">
        <f>VLOOKUP(C$6,Data!$A$3:$G$8,5,FALSE)+IF($B93=refund_inc_year,refund_inc,0)</f>
        <v>7.0000000000000007E-2</v>
      </c>
      <c r="F93" s="58">
        <f t="shared" si="21"/>
        <v>366.03998002928114</v>
      </c>
      <c r="G93" s="75">
        <f>F93*VLOOKUP(C$6,Data!$A$4:$G$8,2,FALSE)</f>
        <v>1830.1999001464058</v>
      </c>
      <c r="H93" s="75">
        <f t="shared" si="22"/>
        <v>784.37138577703058</v>
      </c>
      <c r="I93" s="11">
        <f>I92*(1+VLOOKUP(I$6,Data!$A$3:$G$8,6,0))^(1/12)</f>
        <v>9705.3885605720934</v>
      </c>
      <c r="J93" s="59">
        <f>I93*VLOOKUP(I$6,Data!$A$4:$G$8,3,FALSE)</f>
        <v>2911.6165681716279</v>
      </c>
      <c r="K93" s="37">
        <f>VLOOKUP(I$6,Data!$A$3:$G$8,5,FALSE)+IF($B93=refund_inc_year,refund_inc,0)</f>
        <v>0.06</v>
      </c>
      <c r="L93" s="58">
        <f t="shared" si="23"/>
        <v>582.32331363432559</v>
      </c>
      <c r="M93" s="75">
        <f>L93*VLOOKUP(I$6,Data!$A$4:$G$8,2,FALSE)</f>
        <v>3493.9398818059535</v>
      </c>
      <c r="N93" s="75">
        <f t="shared" si="24"/>
        <v>-582.32331363432559</v>
      </c>
      <c r="O93" s="11">
        <f>O92*(1+VLOOKUP(O$6,Data!$A$3:$G$8,6,0))^(1/12)</f>
        <v>10857.923596256544</v>
      </c>
      <c r="P93" s="59">
        <f>O93*VLOOKUP(O$6,Data!$A$4:$G$8,3,FALSE)</f>
        <v>10857.923596256544</v>
      </c>
      <c r="Q93" s="37">
        <f>VLOOKUP(O$6,Data!$A$3:$G$8,5,FALSE)+IF($B93=refund_inc_year,refund_inc,0)</f>
        <v>0.05</v>
      </c>
      <c r="R93" s="58">
        <f t="shared" si="25"/>
        <v>542.8961798128272</v>
      </c>
      <c r="S93" s="75">
        <f>R93*VLOOKUP(O$6,Data!$A$4:$G$8,2,FALSE)</f>
        <v>4071.7213485962038</v>
      </c>
      <c r="T93" s="75">
        <f t="shared" si="26"/>
        <v>6786.2022476603397</v>
      </c>
      <c r="U93" s="11">
        <f>U92*(1+VLOOKUP(U$6,Data!$A$3:$G$8,6,0))^(1/12)</f>
        <v>12201.332667642711</v>
      </c>
      <c r="V93" s="59">
        <f>U93*VLOOKUP(U$6,Data!$A$4:$G$8,3,FALSE)</f>
        <v>30503.331669106778</v>
      </c>
      <c r="W93" s="37">
        <f>VLOOKUP(U$6,Data!$A$3:$G$8,5,FALSE)+IF($B93=refund_inc_year,refund_inc,0)</f>
        <v>7.0000000000000007E-2</v>
      </c>
      <c r="X93" s="58">
        <f t="shared" si="27"/>
        <v>854.09328673498987</v>
      </c>
      <c r="Y93" s="75">
        <f>X93*VLOOKUP(U$6,Data!$A$4:$G$8,2,FALSE)</f>
        <v>7259.7929372474136</v>
      </c>
      <c r="Z93" s="75">
        <f t="shared" si="28"/>
        <v>23243.538731859364</v>
      </c>
      <c r="AA93" s="11">
        <f>AA92*(1+VLOOKUP(AA$6,Data!$A$3:$G$8,6,0))^(1/12)</f>
        <v>12262.387321837021</v>
      </c>
      <c r="AB93" s="59">
        <f>AA93*VLOOKUP(AA$6,Data!$A$4:$G$8,3,FALSE)</f>
        <v>33721.565135051809</v>
      </c>
      <c r="AC93" s="37">
        <f>VLOOKUP(AA$6,Data!$A$3:$G$8,5,FALSE)+IF($B93=refund_inc_year,refund_inc,0)</f>
        <v>0.08</v>
      </c>
      <c r="AD93" s="58">
        <f t="shared" si="29"/>
        <v>980.99098574696166</v>
      </c>
      <c r="AE93" s="75">
        <f>AD93*VLOOKUP(AA$6,Data!$A$4:$G$8,2,FALSE)</f>
        <v>9809.9098574696163</v>
      </c>
      <c r="AF93" s="75">
        <f t="shared" si="30"/>
        <v>23911.655277582191</v>
      </c>
      <c r="AG93" s="61">
        <f t="shared" si="31"/>
        <v>54143.444329244601</v>
      </c>
      <c r="AH93" s="60">
        <f>'Combined Admin'!D92</f>
        <v>17500</v>
      </c>
      <c r="AI93" s="60">
        <f t="shared" si="18"/>
        <v>0</v>
      </c>
      <c r="AJ93" s="60">
        <f t="shared" si="32"/>
        <v>17500</v>
      </c>
      <c r="AK93" s="60">
        <f t="shared" si="33"/>
        <v>36643.444329244601</v>
      </c>
      <c r="AL93" s="62">
        <f t="shared" si="19"/>
        <v>1219506.1640521414</v>
      </c>
    </row>
    <row r="94" spans="1:38" x14ac:dyDescent="0.25">
      <c r="A94" s="2">
        <v>87</v>
      </c>
      <c r="B94" s="36">
        <f t="shared" si="20"/>
        <v>8</v>
      </c>
      <c r="C94" s="11">
        <f>C93*(1+VLOOKUP(C$6,Data!$A$3:$G$8,6,0))^(1/12)</f>
        <v>5237.7789259436104</v>
      </c>
      <c r="D94" s="59">
        <f>C94*VLOOKUP(C$6,Data!$A$4:$G$8,3,FALSE)</f>
        <v>2618.8894629718052</v>
      </c>
      <c r="E94" s="37">
        <f>VLOOKUP(C$6,Data!$A$3:$G$8,5,FALSE)+IF($B94=refund_inc_year,refund_inc,0)</f>
        <v>7.0000000000000007E-2</v>
      </c>
      <c r="F94" s="58">
        <f t="shared" si="21"/>
        <v>366.64452481605275</v>
      </c>
      <c r="G94" s="75">
        <f>F94*VLOOKUP(C$6,Data!$A$4:$G$8,2,FALSE)</f>
        <v>1833.2226240802638</v>
      </c>
      <c r="H94" s="75">
        <f t="shared" si="22"/>
        <v>785.66683889154137</v>
      </c>
      <c r="I94" s="11">
        <f>I93*(1+VLOOKUP(I$6,Data!$A$3:$G$8,6,0))^(1/12)</f>
        <v>9713.4395502976276</v>
      </c>
      <c r="J94" s="59">
        <f>I94*VLOOKUP(I$6,Data!$A$4:$G$8,3,FALSE)</f>
        <v>2914.0318650892882</v>
      </c>
      <c r="K94" s="37">
        <f>VLOOKUP(I$6,Data!$A$3:$G$8,5,FALSE)+IF($B94=refund_inc_year,refund_inc,0)</f>
        <v>0.06</v>
      </c>
      <c r="L94" s="58">
        <f t="shared" si="23"/>
        <v>582.8063730178576</v>
      </c>
      <c r="M94" s="75">
        <f>L94*VLOOKUP(I$6,Data!$A$4:$G$8,2,FALSE)</f>
        <v>3496.8382381071456</v>
      </c>
      <c r="N94" s="75">
        <f t="shared" si="24"/>
        <v>-582.80637301785737</v>
      </c>
      <c r="O94" s="11">
        <f>O93*(1+VLOOKUP(O$6,Data!$A$3:$G$8,6,0))^(1/12)</f>
        <v>10902.160121021088</v>
      </c>
      <c r="P94" s="59">
        <f>O94*VLOOKUP(O$6,Data!$A$4:$G$8,3,FALSE)</f>
        <v>10902.160121021088</v>
      </c>
      <c r="Q94" s="37">
        <f>VLOOKUP(O$6,Data!$A$3:$G$8,5,FALSE)+IF($B94=refund_inc_year,refund_inc,0)</f>
        <v>0.05</v>
      </c>
      <c r="R94" s="58">
        <f t="shared" si="25"/>
        <v>545.10800605105442</v>
      </c>
      <c r="S94" s="75">
        <f>R94*VLOOKUP(O$6,Data!$A$4:$G$8,2,FALSE)</f>
        <v>4088.3100453829084</v>
      </c>
      <c r="T94" s="75">
        <f t="shared" si="26"/>
        <v>6813.85007563818</v>
      </c>
      <c r="U94" s="11">
        <f>U93*(1+VLOOKUP(U$6,Data!$A$3:$G$8,6,0))^(1/12)</f>
        <v>12221.484160535099</v>
      </c>
      <c r="V94" s="59">
        <f>U94*VLOOKUP(U$6,Data!$A$4:$G$8,3,FALSE)</f>
        <v>30553.710401337747</v>
      </c>
      <c r="W94" s="37">
        <f>VLOOKUP(U$6,Data!$A$3:$G$8,5,FALSE)+IF($B94=refund_inc_year,refund_inc,0)</f>
        <v>7.0000000000000007E-2</v>
      </c>
      <c r="X94" s="58">
        <f t="shared" si="27"/>
        <v>855.50389123745708</v>
      </c>
      <c r="Y94" s="75">
        <f>X94*VLOOKUP(U$6,Data!$A$4:$G$8,2,FALSE)</f>
        <v>7271.783075518385</v>
      </c>
      <c r="Z94" s="75">
        <f t="shared" si="28"/>
        <v>23281.927325819361</v>
      </c>
      <c r="AA94" s="11">
        <f>AA93*(1+VLOOKUP(AA$6,Data!$A$3:$G$8,6,0))^(1/12)</f>
        <v>12292.629677025148</v>
      </c>
      <c r="AB94" s="59">
        <f>AA94*VLOOKUP(AA$6,Data!$A$4:$G$8,3,FALSE)</f>
        <v>33804.731611819159</v>
      </c>
      <c r="AC94" s="37">
        <f>VLOOKUP(AA$6,Data!$A$3:$G$8,5,FALSE)+IF($B94=refund_inc_year,refund_inc,0)</f>
        <v>0.08</v>
      </c>
      <c r="AD94" s="58">
        <f t="shared" si="29"/>
        <v>983.41037416201186</v>
      </c>
      <c r="AE94" s="75">
        <f>AD94*VLOOKUP(AA$6,Data!$A$4:$G$8,2,FALSE)</f>
        <v>9834.1037416201179</v>
      </c>
      <c r="AF94" s="75">
        <f t="shared" si="30"/>
        <v>23970.627870199041</v>
      </c>
      <c r="AG94" s="61">
        <f t="shared" si="31"/>
        <v>54269.265737530266</v>
      </c>
      <c r="AH94" s="60">
        <f>'Combined Admin'!D93</f>
        <v>17500</v>
      </c>
      <c r="AI94" s="60">
        <f t="shared" si="18"/>
        <v>0</v>
      </c>
      <c r="AJ94" s="60">
        <f t="shared" si="32"/>
        <v>17500</v>
      </c>
      <c r="AK94" s="60">
        <f t="shared" si="33"/>
        <v>36769.265737530266</v>
      </c>
      <c r="AL94" s="62">
        <f t="shared" si="19"/>
        <v>1190234.5357342167</v>
      </c>
    </row>
    <row r="95" spans="1:38" x14ac:dyDescent="0.25">
      <c r="A95" s="2">
        <v>88</v>
      </c>
      <c r="B95" s="36">
        <f t="shared" si="20"/>
        <v>8</v>
      </c>
      <c r="C95" s="11">
        <f>C94*(1+VLOOKUP(C$6,Data!$A$3:$G$8,6,0))^(1/12)</f>
        <v>5246.4295436812909</v>
      </c>
      <c r="D95" s="59">
        <f>C95*VLOOKUP(C$6,Data!$A$4:$G$8,3,FALSE)</f>
        <v>2623.2147718406454</v>
      </c>
      <c r="E95" s="37">
        <f>VLOOKUP(C$6,Data!$A$3:$G$8,5,FALSE)+IF($B95=refund_inc_year,refund_inc,0)</f>
        <v>7.0000000000000007E-2</v>
      </c>
      <c r="F95" s="58">
        <f t="shared" si="21"/>
        <v>367.25006805769038</v>
      </c>
      <c r="G95" s="75">
        <f>F95*VLOOKUP(C$6,Data!$A$4:$G$8,2,FALSE)</f>
        <v>1836.250340288452</v>
      </c>
      <c r="H95" s="75">
        <f t="shared" si="22"/>
        <v>786.96443155219345</v>
      </c>
      <c r="I95" s="11">
        <f>I94*(1+VLOOKUP(I$6,Data!$A$3:$G$8,6,0))^(1/12)</f>
        <v>9721.4972186259965</v>
      </c>
      <c r="J95" s="59">
        <f>I95*VLOOKUP(I$6,Data!$A$4:$G$8,3,FALSE)</f>
        <v>2916.4491655877987</v>
      </c>
      <c r="K95" s="37">
        <f>VLOOKUP(I$6,Data!$A$3:$G$8,5,FALSE)+IF($B95=refund_inc_year,refund_inc,0)</f>
        <v>0.06</v>
      </c>
      <c r="L95" s="58">
        <f t="shared" si="23"/>
        <v>583.28983311755974</v>
      </c>
      <c r="M95" s="75">
        <f>L95*VLOOKUP(I$6,Data!$A$4:$G$8,2,FALSE)</f>
        <v>3499.7389987053584</v>
      </c>
      <c r="N95" s="75">
        <f t="shared" si="24"/>
        <v>-583.28983311755974</v>
      </c>
      <c r="O95" s="11">
        <f>O94*(1+VLOOKUP(O$6,Data!$A$3:$G$8,6,0))^(1/12)</f>
        <v>10946.576870863282</v>
      </c>
      <c r="P95" s="59">
        <f>O95*VLOOKUP(O$6,Data!$A$4:$G$8,3,FALSE)</f>
        <v>10946.576870863282</v>
      </c>
      <c r="Q95" s="37">
        <f>VLOOKUP(O$6,Data!$A$3:$G$8,5,FALSE)+IF($B95=refund_inc_year,refund_inc,0)</f>
        <v>0.05</v>
      </c>
      <c r="R95" s="58">
        <f t="shared" si="25"/>
        <v>547.32884354316411</v>
      </c>
      <c r="S95" s="75">
        <f>R95*VLOOKUP(O$6,Data!$A$4:$G$8,2,FALSE)</f>
        <v>4104.9663265737308</v>
      </c>
      <c r="T95" s="75">
        <f t="shared" si="26"/>
        <v>6841.6105442895514</v>
      </c>
      <c r="U95" s="11">
        <f>U94*(1+VLOOKUP(U$6,Data!$A$3:$G$8,6,0))^(1/12)</f>
        <v>12241.668935256354</v>
      </c>
      <c r="V95" s="59">
        <f>U95*VLOOKUP(U$6,Data!$A$4:$G$8,3,FALSE)</f>
        <v>30604.172338140885</v>
      </c>
      <c r="W95" s="37">
        <f>VLOOKUP(U$6,Data!$A$3:$G$8,5,FALSE)+IF($B95=refund_inc_year,refund_inc,0)</f>
        <v>7.0000000000000007E-2</v>
      </c>
      <c r="X95" s="58">
        <f t="shared" si="27"/>
        <v>856.91682546794482</v>
      </c>
      <c r="Y95" s="75">
        <f>X95*VLOOKUP(U$6,Data!$A$4:$G$8,2,FALSE)</f>
        <v>7283.7930164775307</v>
      </c>
      <c r="Z95" s="75">
        <f t="shared" si="28"/>
        <v>23320.379321663353</v>
      </c>
      <c r="AA95" s="11">
        <f>AA94*(1+VLOOKUP(AA$6,Data!$A$3:$G$8,6,0))^(1/12)</f>
        <v>12322.946618019718</v>
      </c>
      <c r="AB95" s="59">
        <f>AA95*VLOOKUP(AA$6,Data!$A$4:$G$8,3,FALSE)</f>
        <v>33888.103199554222</v>
      </c>
      <c r="AC95" s="37">
        <f>VLOOKUP(AA$6,Data!$A$3:$G$8,5,FALSE)+IF($B95=refund_inc_year,refund_inc,0)</f>
        <v>0.08</v>
      </c>
      <c r="AD95" s="58">
        <f t="shared" si="29"/>
        <v>985.83572944157743</v>
      </c>
      <c r="AE95" s="75">
        <f>AD95*VLOOKUP(AA$6,Data!$A$4:$G$8,2,FALSE)</f>
        <v>9858.357294415775</v>
      </c>
      <c r="AF95" s="75">
        <f t="shared" si="30"/>
        <v>24029.745905138447</v>
      </c>
      <c r="AG95" s="61">
        <f t="shared" si="31"/>
        <v>54395.410369525984</v>
      </c>
      <c r="AH95" s="60">
        <f>'Combined Admin'!D94</f>
        <v>17500</v>
      </c>
      <c r="AI95" s="60">
        <f t="shared" si="18"/>
        <v>0</v>
      </c>
      <c r="AJ95" s="60">
        <f t="shared" si="32"/>
        <v>17500</v>
      </c>
      <c r="AK95" s="60">
        <f t="shared" si="33"/>
        <v>36895.410369525984</v>
      </c>
      <c r="AL95" s="62">
        <f t="shared" si="19"/>
        <v>1160660.1413851152</v>
      </c>
    </row>
    <row r="96" spans="1:38" x14ac:dyDescent="0.25">
      <c r="A96" s="2">
        <v>89</v>
      </c>
      <c r="B96" s="36">
        <f t="shared" si="20"/>
        <v>8</v>
      </c>
      <c r="C96" s="11">
        <f>C95*(1+VLOOKUP(C$6,Data!$A$3:$G$8,6,0))^(1/12)</f>
        <v>5255.0944486174767</v>
      </c>
      <c r="D96" s="59">
        <f>C96*VLOOKUP(C$6,Data!$A$4:$G$8,3,FALSE)</f>
        <v>2627.5472243087384</v>
      </c>
      <c r="E96" s="37">
        <f>VLOOKUP(C$6,Data!$A$3:$G$8,5,FALSE)+IF($B96=refund_inc_year,refund_inc,0)</f>
        <v>7.0000000000000007E-2</v>
      </c>
      <c r="F96" s="58">
        <f t="shared" si="21"/>
        <v>367.85661140322338</v>
      </c>
      <c r="G96" s="75">
        <f>F96*VLOOKUP(C$6,Data!$A$4:$G$8,2,FALSE)</f>
        <v>1839.2830570161168</v>
      </c>
      <c r="H96" s="75">
        <f t="shared" si="22"/>
        <v>788.26416729262155</v>
      </c>
      <c r="I96" s="11">
        <f>I95*(1+VLOOKUP(I$6,Data!$A$3:$G$8,6,0))^(1/12)</f>
        <v>9729.5615710973561</v>
      </c>
      <c r="J96" s="59">
        <f>I96*VLOOKUP(I$6,Data!$A$4:$G$8,3,FALSE)</f>
        <v>2918.8684713292068</v>
      </c>
      <c r="K96" s="37">
        <f>VLOOKUP(I$6,Data!$A$3:$G$8,5,FALSE)+IF($B96=refund_inc_year,refund_inc,0)</f>
        <v>0.06</v>
      </c>
      <c r="L96" s="58">
        <f t="shared" si="23"/>
        <v>583.7736942658413</v>
      </c>
      <c r="M96" s="75">
        <f>L96*VLOOKUP(I$6,Data!$A$4:$G$8,2,FALSE)</f>
        <v>3502.642165595048</v>
      </c>
      <c r="N96" s="75">
        <f t="shared" si="24"/>
        <v>-583.77369426584119</v>
      </c>
      <c r="O96" s="11">
        <f>O95*(1+VLOOKUP(O$6,Data!$A$3:$G$8,6,0))^(1/12)</f>
        <v>10991.174580042401</v>
      </c>
      <c r="P96" s="59">
        <f>O96*VLOOKUP(O$6,Data!$A$4:$G$8,3,FALSE)</f>
        <v>10991.174580042401</v>
      </c>
      <c r="Q96" s="37">
        <f>VLOOKUP(O$6,Data!$A$3:$G$8,5,FALSE)+IF($B96=refund_inc_year,refund_inc,0)</f>
        <v>0.05</v>
      </c>
      <c r="R96" s="58">
        <f t="shared" si="25"/>
        <v>549.55872900212012</v>
      </c>
      <c r="S96" s="75">
        <f>R96*VLOOKUP(O$6,Data!$A$4:$G$8,2,FALSE)</f>
        <v>4121.6904675159012</v>
      </c>
      <c r="T96" s="75">
        <f t="shared" si="26"/>
        <v>6869.4841125265002</v>
      </c>
      <c r="U96" s="11">
        <f>U95*(1+VLOOKUP(U$6,Data!$A$3:$G$8,6,0))^(1/12)</f>
        <v>12261.88704677412</v>
      </c>
      <c r="V96" s="59">
        <f>U96*VLOOKUP(U$6,Data!$A$4:$G$8,3,FALSE)</f>
        <v>30654.717616935301</v>
      </c>
      <c r="W96" s="37">
        <f>VLOOKUP(U$6,Data!$A$3:$G$8,5,FALSE)+IF($B96=refund_inc_year,refund_inc,0)</f>
        <v>7.0000000000000007E-2</v>
      </c>
      <c r="X96" s="58">
        <f t="shared" si="27"/>
        <v>858.33209327418842</v>
      </c>
      <c r="Y96" s="75">
        <f>X96*VLOOKUP(U$6,Data!$A$4:$G$8,2,FALSE)</f>
        <v>7295.8227928306014</v>
      </c>
      <c r="Z96" s="75">
        <f t="shared" si="28"/>
        <v>23358.8948241047</v>
      </c>
      <c r="AA96" s="11">
        <f>AA95*(1+VLOOKUP(AA$6,Data!$A$3:$G$8,6,0))^(1/12)</f>
        <v>12353.338328769452</v>
      </c>
      <c r="AB96" s="59">
        <f>AA96*VLOOKUP(AA$6,Data!$A$4:$G$8,3,FALSE)</f>
        <v>33971.680404115992</v>
      </c>
      <c r="AC96" s="37">
        <f>VLOOKUP(AA$6,Data!$A$3:$G$8,5,FALSE)+IF($B96=refund_inc_year,refund_inc,0)</f>
        <v>0.08</v>
      </c>
      <c r="AD96" s="58">
        <f t="shared" si="29"/>
        <v>988.26706630155616</v>
      </c>
      <c r="AE96" s="75">
        <f>AD96*VLOOKUP(AA$6,Data!$A$4:$G$8,2,FALSE)</f>
        <v>9882.6706630155622</v>
      </c>
      <c r="AF96" s="75">
        <f t="shared" si="30"/>
        <v>24089.009741100432</v>
      </c>
      <c r="AG96" s="61">
        <f t="shared" si="31"/>
        <v>54521.87915075841</v>
      </c>
      <c r="AH96" s="60">
        <f>'Combined Admin'!D95</f>
        <v>17500</v>
      </c>
      <c r="AI96" s="60">
        <f t="shared" si="18"/>
        <v>0</v>
      </c>
      <c r="AJ96" s="60">
        <f t="shared" si="32"/>
        <v>17500</v>
      </c>
      <c r="AK96" s="60">
        <f t="shared" si="33"/>
        <v>37021.87915075841</v>
      </c>
      <c r="AL96" s="62">
        <f t="shared" si="19"/>
        <v>1130780.8275849854</v>
      </c>
    </row>
    <row r="97" spans="1:38" x14ac:dyDescent="0.25">
      <c r="A97" s="2">
        <v>90</v>
      </c>
      <c r="B97" s="36">
        <f t="shared" si="20"/>
        <v>8</v>
      </c>
      <c r="C97" s="11">
        <f>C96*(1+VLOOKUP(C$6,Data!$A$3:$G$8,6,0))^(1/12)</f>
        <v>5263.7736643486378</v>
      </c>
      <c r="D97" s="59">
        <f>C97*VLOOKUP(C$6,Data!$A$4:$G$8,3,FALSE)</f>
        <v>2631.8868321743189</v>
      </c>
      <c r="E97" s="37">
        <f>VLOOKUP(C$6,Data!$A$3:$G$8,5,FALSE)+IF($B97=refund_inc_year,refund_inc,0)</f>
        <v>7.0000000000000007E-2</v>
      </c>
      <c r="F97" s="58">
        <f t="shared" si="21"/>
        <v>368.46415650440468</v>
      </c>
      <c r="G97" s="75">
        <f>F97*VLOOKUP(C$6,Data!$A$4:$G$8,2,FALSE)</f>
        <v>1842.3207825220234</v>
      </c>
      <c r="H97" s="75">
        <f t="shared" si="22"/>
        <v>789.56604965229553</v>
      </c>
      <c r="I97" s="11">
        <f>I96*(1+VLOOKUP(I$6,Data!$A$3:$G$8,6,0))^(1/12)</f>
        <v>9737.6326132564591</v>
      </c>
      <c r="J97" s="59">
        <f>I97*VLOOKUP(I$6,Data!$A$4:$G$8,3,FALSE)</f>
        <v>2921.2897839769375</v>
      </c>
      <c r="K97" s="37">
        <f>VLOOKUP(I$6,Data!$A$3:$G$8,5,FALSE)+IF($B97=refund_inc_year,refund_inc,0)</f>
        <v>0.06</v>
      </c>
      <c r="L97" s="58">
        <f t="shared" si="23"/>
        <v>584.25795679538749</v>
      </c>
      <c r="M97" s="75">
        <f>L97*VLOOKUP(I$6,Data!$A$4:$G$8,2,FALSE)</f>
        <v>3505.5477407723247</v>
      </c>
      <c r="N97" s="75">
        <f t="shared" si="24"/>
        <v>-584.25795679538714</v>
      </c>
      <c r="O97" s="11">
        <f>O96*(1+VLOOKUP(O$6,Data!$A$3:$G$8,6,0))^(1/12)</f>
        <v>11035.953985809183</v>
      </c>
      <c r="P97" s="59">
        <f>O97*VLOOKUP(O$6,Data!$A$4:$G$8,3,FALSE)</f>
        <v>11035.953985809183</v>
      </c>
      <c r="Q97" s="37">
        <f>VLOOKUP(O$6,Data!$A$3:$G$8,5,FALSE)+IF($B97=refund_inc_year,refund_inc,0)</f>
        <v>0.05</v>
      </c>
      <c r="R97" s="58">
        <f t="shared" si="25"/>
        <v>551.79769929045915</v>
      </c>
      <c r="S97" s="75">
        <f>R97*VLOOKUP(O$6,Data!$A$4:$G$8,2,FALSE)</f>
        <v>4138.4827446784439</v>
      </c>
      <c r="T97" s="75">
        <f t="shared" si="26"/>
        <v>6897.4712411307391</v>
      </c>
      <c r="U97" s="11">
        <f>U96*(1+VLOOKUP(U$6,Data!$A$3:$G$8,6,0))^(1/12)</f>
        <v>12282.13855014683</v>
      </c>
      <c r="V97" s="59">
        <f>U97*VLOOKUP(U$6,Data!$A$4:$G$8,3,FALSE)</f>
        <v>30705.346375367077</v>
      </c>
      <c r="W97" s="37">
        <f>VLOOKUP(U$6,Data!$A$3:$G$8,5,FALSE)+IF($B97=refund_inc_year,refund_inc,0)</f>
        <v>7.0000000000000007E-2</v>
      </c>
      <c r="X97" s="58">
        <f t="shared" si="27"/>
        <v>859.74969851027822</v>
      </c>
      <c r="Y97" s="75">
        <f>X97*VLOOKUP(U$6,Data!$A$4:$G$8,2,FALSE)</f>
        <v>7307.8724373373652</v>
      </c>
      <c r="Z97" s="75">
        <f t="shared" si="28"/>
        <v>23397.473938029711</v>
      </c>
      <c r="AA97" s="11">
        <f>AA96*(1+VLOOKUP(AA$6,Data!$A$3:$G$8,6,0))^(1/12)</f>
        <v>12383.804993676737</v>
      </c>
      <c r="AB97" s="59">
        <f>AA97*VLOOKUP(AA$6,Data!$A$4:$G$8,3,FALSE)</f>
        <v>34055.463732611024</v>
      </c>
      <c r="AC97" s="37">
        <f>VLOOKUP(AA$6,Data!$A$3:$G$8,5,FALSE)+IF($B97=refund_inc_year,refund_inc,0)</f>
        <v>0.08</v>
      </c>
      <c r="AD97" s="58">
        <f t="shared" si="29"/>
        <v>990.7043994941389</v>
      </c>
      <c r="AE97" s="75">
        <f>AD97*VLOOKUP(AA$6,Data!$A$4:$G$8,2,FALSE)</f>
        <v>9907.0439949413885</v>
      </c>
      <c r="AF97" s="75">
        <f t="shared" si="30"/>
        <v>24148.419737669636</v>
      </c>
      <c r="AG97" s="61">
        <f t="shared" si="31"/>
        <v>54648.673009686994</v>
      </c>
      <c r="AH97" s="60">
        <f>'Combined Admin'!D96</f>
        <v>17500</v>
      </c>
      <c r="AI97" s="60">
        <f t="shared" si="18"/>
        <v>0</v>
      </c>
      <c r="AJ97" s="60">
        <f t="shared" si="32"/>
        <v>17500</v>
      </c>
      <c r="AK97" s="60">
        <f t="shared" si="33"/>
        <v>37148.673009686994</v>
      </c>
      <c r="AL97" s="62">
        <f t="shared" si="19"/>
        <v>1100594.4269711997</v>
      </c>
    </row>
    <row r="98" spans="1:38" x14ac:dyDescent="0.25">
      <c r="A98" s="2">
        <v>91</v>
      </c>
      <c r="B98" s="36">
        <f t="shared" si="20"/>
        <v>8</v>
      </c>
      <c r="C98" s="11">
        <f>C97*(1+VLOOKUP(C$6,Data!$A$3:$G$8,6,0))^(1/12)</f>
        <v>5272.4672145102159</v>
      </c>
      <c r="D98" s="59">
        <f>C98*VLOOKUP(C$6,Data!$A$4:$G$8,3,FALSE)</f>
        <v>2636.2336072551079</v>
      </c>
      <c r="E98" s="37">
        <f>VLOOKUP(C$6,Data!$A$3:$G$8,5,FALSE)+IF($B98=refund_inc_year,refund_inc,0)</f>
        <v>7.0000000000000007E-2</v>
      </c>
      <c r="F98" s="58">
        <f t="shared" si="21"/>
        <v>369.07270501571514</v>
      </c>
      <c r="G98" s="75">
        <f>F98*VLOOKUP(C$6,Data!$A$4:$G$8,2,FALSE)</f>
        <v>1845.3635250785758</v>
      </c>
      <c r="H98" s="75">
        <f t="shared" si="22"/>
        <v>790.87008217653215</v>
      </c>
      <c r="I98" s="11">
        <f>I97*(1+VLOOKUP(I$6,Data!$A$3:$G$8,6,0))^(1/12)</f>
        <v>9745.7103506526564</v>
      </c>
      <c r="J98" s="59">
        <f>I98*VLOOKUP(I$6,Data!$A$4:$G$8,3,FALSE)</f>
        <v>2923.7131051957967</v>
      </c>
      <c r="K98" s="37">
        <f>VLOOKUP(I$6,Data!$A$3:$G$8,5,FALSE)+IF($B98=refund_inc_year,refund_inc,0)</f>
        <v>0.06</v>
      </c>
      <c r="L98" s="58">
        <f t="shared" si="23"/>
        <v>584.74262103915942</v>
      </c>
      <c r="M98" s="75">
        <f>L98*VLOOKUP(I$6,Data!$A$4:$G$8,2,FALSE)</f>
        <v>3508.4557262349563</v>
      </c>
      <c r="N98" s="75">
        <f t="shared" si="24"/>
        <v>-584.74262103915953</v>
      </c>
      <c r="O98" s="11">
        <f>O97*(1+VLOOKUP(O$6,Data!$A$3:$G$8,6,0))^(1/12)</f>
        <v>11080.915828418018</v>
      </c>
      <c r="P98" s="59">
        <f>O98*VLOOKUP(O$6,Data!$A$4:$G$8,3,FALSE)</f>
        <v>11080.915828418018</v>
      </c>
      <c r="Q98" s="37">
        <f>VLOOKUP(O$6,Data!$A$3:$G$8,5,FALSE)+IF($B98=refund_inc_year,refund_inc,0)</f>
        <v>0.05</v>
      </c>
      <c r="R98" s="58">
        <f t="shared" si="25"/>
        <v>554.04579142090085</v>
      </c>
      <c r="S98" s="75">
        <f>R98*VLOOKUP(O$6,Data!$A$4:$G$8,2,FALSE)</f>
        <v>4155.3434356567568</v>
      </c>
      <c r="T98" s="75">
        <f t="shared" si="26"/>
        <v>6925.5723927612607</v>
      </c>
      <c r="U98" s="11">
        <f>U97*(1+VLOOKUP(U$6,Data!$A$3:$G$8,6,0))^(1/12)</f>
        <v>12302.423500523846</v>
      </c>
      <c r="V98" s="59">
        <f>U98*VLOOKUP(U$6,Data!$A$4:$G$8,3,FALSE)</f>
        <v>30756.058751309614</v>
      </c>
      <c r="W98" s="37">
        <f>VLOOKUP(U$6,Data!$A$3:$G$8,5,FALSE)+IF($B98=refund_inc_year,refund_inc,0)</f>
        <v>7.0000000000000007E-2</v>
      </c>
      <c r="X98" s="58">
        <f t="shared" si="27"/>
        <v>861.16964503666929</v>
      </c>
      <c r="Y98" s="75">
        <f>X98*VLOOKUP(U$6,Data!$A$4:$G$8,2,FALSE)</f>
        <v>7319.9419828116888</v>
      </c>
      <c r="Z98" s="75">
        <f t="shared" si="28"/>
        <v>23436.116768497926</v>
      </c>
      <c r="AA98" s="11">
        <f>AA97*(1+VLOOKUP(AA$6,Data!$A$3:$G$8,6,0))^(1/12)</f>
        <v>12414.346797598744</v>
      </c>
      <c r="AB98" s="59">
        <f>AA98*VLOOKUP(AA$6,Data!$A$4:$G$8,3,FALSE)</f>
        <v>34139.453693396543</v>
      </c>
      <c r="AC98" s="37">
        <f>VLOOKUP(AA$6,Data!$A$3:$G$8,5,FALSE)+IF($B98=refund_inc_year,refund_inc,0)</f>
        <v>0.08</v>
      </c>
      <c r="AD98" s="58">
        <f t="shared" si="29"/>
        <v>993.14774380789959</v>
      </c>
      <c r="AE98" s="75">
        <f>AD98*VLOOKUP(AA$6,Data!$A$4:$G$8,2,FALSE)</f>
        <v>9931.4774380789968</v>
      </c>
      <c r="AF98" s="75">
        <f t="shared" si="30"/>
        <v>24207.976255317546</v>
      </c>
      <c r="AG98" s="61">
        <f t="shared" si="31"/>
        <v>54775.792877714106</v>
      </c>
      <c r="AH98" s="60">
        <f>'Combined Admin'!D97</f>
        <v>17500</v>
      </c>
      <c r="AI98" s="60">
        <f t="shared" si="18"/>
        <v>0</v>
      </c>
      <c r="AJ98" s="60">
        <f t="shared" si="32"/>
        <v>17500</v>
      </c>
      <c r="AK98" s="60">
        <f t="shared" si="33"/>
        <v>37275.792877714106</v>
      </c>
      <c r="AL98" s="62">
        <f t="shared" si="19"/>
        <v>1070098.7581511403</v>
      </c>
    </row>
    <row r="99" spans="1:38" x14ac:dyDescent="0.25">
      <c r="A99" s="2">
        <v>92</v>
      </c>
      <c r="B99" s="36">
        <f t="shared" si="20"/>
        <v>8</v>
      </c>
      <c r="C99" s="11">
        <f>C98*(1+VLOOKUP(C$6,Data!$A$3:$G$8,6,0))^(1/12)</f>
        <v>5281.1751227766881</v>
      </c>
      <c r="D99" s="59">
        <f>C99*VLOOKUP(C$6,Data!$A$4:$G$8,3,FALSE)</f>
        <v>2640.5875613883441</v>
      </c>
      <c r="E99" s="37">
        <f>VLOOKUP(C$6,Data!$A$3:$G$8,5,FALSE)+IF($B99=refund_inc_year,refund_inc,0)</f>
        <v>7.0000000000000007E-2</v>
      </c>
      <c r="F99" s="58">
        <f t="shared" si="21"/>
        <v>369.68225859436819</v>
      </c>
      <c r="G99" s="75">
        <f>F99*VLOOKUP(C$6,Data!$A$4:$G$8,2,FALSE)</f>
        <v>1848.411292971841</v>
      </c>
      <c r="H99" s="75">
        <f t="shared" si="22"/>
        <v>792.17626841650304</v>
      </c>
      <c r="I99" s="11">
        <f>I98*(1+VLOOKUP(I$6,Data!$A$3:$G$8,6,0))^(1/12)</f>
        <v>9753.7947888399012</v>
      </c>
      <c r="J99" s="59">
        <f>I99*VLOOKUP(I$6,Data!$A$4:$G$8,3,FALSE)</f>
        <v>2926.1384366519701</v>
      </c>
      <c r="K99" s="37">
        <f>VLOOKUP(I$6,Data!$A$3:$G$8,5,FALSE)+IF($B99=refund_inc_year,refund_inc,0)</f>
        <v>0.06</v>
      </c>
      <c r="L99" s="58">
        <f t="shared" si="23"/>
        <v>585.22768733039402</v>
      </c>
      <c r="M99" s="75">
        <f>L99*VLOOKUP(I$6,Data!$A$4:$G$8,2,FALSE)</f>
        <v>3511.3661239823641</v>
      </c>
      <c r="N99" s="75">
        <f t="shared" si="24"/>
        <v>-585.22768733039402</v>
      </c>
      <c r="O99" s="11">
        <f>O98*(1+VLOOKUP(O$6,Data!$A$3:$G$8,6,0))^(1/12)</f>
        <v>11126.06085113918</v>
      </c>
      <c r="P99" s="59">
        <f>O99*VLOOKUP(O$6,Data!$A$4:$G$8,3,FALSE)</f>
        <v>11126.06085113918</v>
      </c>
      <c r="Q99" s="37">
        <f>VLOOKUP(O$6,Data!$A$3:$G$8,5,FALSE)+IF($B99=refund_inc_year,refund_inc,0)</f>
        <v>0.05</v>
      </c>
      <c r="R99" s="58">
        <f t="shared" si="25"/>
        <v>556.30304255695899</v>
      </c>
      <c r="S99" s="75">
        <f>R99*VLOOKUP(O$6,Data!$A$4:$G$8,2,FALSE)</f>
        <v>4172.2728191771921</v>
      </c>
      <c r="T99" s="75">
        <f t="shared" si="26"/>
        <v>6953.7880319619881</v>
      </c>
      <c r="U99" s="11">
        <f>U98*(1+VLOOKUP(U$6,Data!$A$3:$G$8,6,0))^(1/12)</f>
        <v>12322.741953145614</v>
      </c>
      <c r="V99" s="59">
        <f>U99*VLOOKUP(U$6,Data!$A$4:$G$8,3,FALSE)</f>
        <v>30806.854882864034</v>
      </c>
      <c r="W99" s="37">
        <f>VLOOKUP(U$6,Data!$A$3:$G$8,5,FALSE)+IF($B99=refund_inc_year,refund_inc,0)</f>
        <v>7.0000000000000007E-2</v>
      </c>
      <c r="X99" s="58">
        <f t="shared" si="27"/>
        <v>862.59193672019308</v>
      </c>
      <c r="Y99" s="75">
        <f>X99*VLOOKUP(U$6,Data!$A$4:$G$8,2,FALSE)</f>
        <v>7332.0314621216412</v>
      </c>
      <c r="Z99" s="75">
        <f t="shared" si="28"/>
        <v>23474.823420742392</v>
      </c>
      <c r="AA99" s="11">
        <f>AA98*(1+VLOOKUP(AA$6,Data!$A$3:$G$8,6,0))^(1/12)</f>
        <v>12444.963925848557</v>
      </c>
      <c r="AB99" s="59">
        <f>AA99*VLOOKUP(AA$6,Data!$A$4:$G$8,3,FALSE)</f>
        <v>34223.65079608353</v>
      </c>
      <c r="AC99" s="37">
        <f>VLOOKUP(AA$6,Data!$A$3:$G$8,5,FALSE)+IF($B99=refund_inc_year,refund_inc,0)</f>
        <v>0.08</v>
      </c>
      <c r="AD99" s="58">
        <f t="shared" si="29"/>
        <v>995.5971140678846</v>
      </c>
      <c r="AE99" s="75">
        <f>AD99*VLOOKUP(AA$6,Data!$A$4:$G$8,2,FALSE)</f>
        <v>9955.9711406788465</v>
      </c>
      <c r="AF99" s="75">
        <f t="shared" si="30"/>
        <v>24267.679655404681</v>
      </c>
      <c r="AG99" s="61">
        <f t="shared" si="31"/>
        <v>54903.239689195172</v>
      </c>
      <c r="AH99" s="60">
        <f>'Combined Admin'!D98</f>
        <v>17500</v>
      </c>
      <c r="AI99" s="60">
        <f t="shared" si="18"/>
        <v>0</v>
      </c>
      <c r="AJ99" s="60">
        <f t="shared" si="32"/>
        <v>17500</v>
      </c>
      <c r="AK99" s="60">
        <f t="shared" si="33"/>
        <v>37403.239689195172</v>
      </c>
      <c r="AL99" s="62">
        <f t="shared" si="19"/>
        <v>1039291.625614445</v>
      </c>
    </row>
    <row r="100" spans="1:38" x14ac:dyDescent="0.25">
      <c r="A100" s="2">
        <v>93</v>
      </c>
      <c r="B100" s="36">
        <f t="shared" si="20"/>
        <v>8</v>
      </c>
      <c r="C100" s="11">
        <f>C99*(1+VLOOKUP(C$6,Data!$A$3:$G$8,6,0))^(1/12)</f>
        <v>5289.8974128616319</v>
      </c>
      <c r="D100" s="59">
        <f>C100*VLOOKUP(C$6,Data!$A$4:$G$8,3,FALSE)</f>
        <v>2644.9487064308159</v>
      </c>
      <c r="E100" s="37">
        <f>VLOOKUP(C$6,Data!$A$3:$G$8,5,FALSE)+IF($B100=refund_inc_year,refund_inc,0)</f>
        <v>7.0000000000000007E-2</v>
      </c>
      <c r="F100" s="58">
        <f t="shared" si="21"/>
        <v>370.29281890031427</v>
      </c>
      <c r="G100" s="75">
        <f>F100*VLOOKUP(C$6,Data!$A$4:$G$8,2,FALSE)</f>
        <v>1851.4640945015713</v>
      </c>
      <c r="H100" s="75">
        <f t="shared" si="22"/>
        <v>793.48461192924469</v>
      </c>
      <c r="I100" s="11">
        <f>I99*(1+VLOOKUP(I$6,Data!$A$3:$G$8,6,0))^(1/12)</f>
        <v>9761.8859333767541</v>
      </c>
      <c r="J100" s="59">
        <f>I100*VLOOKUP(I$6,Data!$A$4:$G$8,3,FALSE)</f>
        <v>2928.5657800130261</v>
      </c>
      <c r="K100" s="37">
        <f>VLOOKUP(I$6,Data!$A$3:$G$8,5,FALSE)+IF($B100=refund_inc_year,refund_inc,0)</f>
        <v>0.06</v>
      </c>
      <c r="L100" s="58">
        <f t="shared" si="23"/>
        <v>585.71315600260527</v>
      </c>
      <c r="M100" s="75">
        <f>L100*VLOOKUP(I$6,Data!$A$4:$G$8,2,FALSE)</f>
        <v>3514.2789360156316</v>
      </c>
      <c r="N100" s="75">
        <f t="shared" si="24"/>
        <v>-585.7131560026055</v>
      </c>
      <c r="O100" s="11">
        <f>O99*(1+VLOOKUP(O$6,Data!$A$3:$G$8,6,0))^(1/12)</f>
        <v>11171.389800271125</v>
      </c>
      <c r="P100" s="59">
        <f>O100*VLOOKUP(O$6,Data!$A$4:$G$8,3,FALSE)</f>
        <v>11171.389800271125</v>
      </c>
      <c r="Q100" s="37">
        <f>VLOOKUP(O$6,Data!$A$3:$G$8,5,FALSE)+IF($B100=refund_inc_year,refund_inc,0)</f>
        <v>0.05</v>
      </c>
      <c r="R100" s="58">
        <f t="shared" si="25"/>
        <v>558.56949001355622</v>
      </c>
      <c r="S100" s="75">
        <f>R100*VLOOKUP(O$6,Data!$A$4:$G$8,2,FALSE)</f>
        <v>4189.2711751016714</v>
      </c>
      <c r="T100" s="75">
        <f t="shared" si="26"/>
        <v>6982.1186251694535</v>
      </c>
      <c r="U100" s="11">
        <f>U99*(1+VLOOKUP(U$6,Data!$A$3:$G$8,6,0))^(1/12)</f>
        <v>12343.093963343817</v>
      </c>
      <c r="V100" s="59">
        <f>U100*VLOOKUP(U$6,Data!$A$4:$G$8,3,FALSE)</f>
        <v>30857.734908359544</v>
      </c>
      <c r="W100" s="37">
        <f>VLOOKUP(U$6,Data!$A$3:$G$8,5,FALSE)+IF($B100=refund_inc_year,refund_inc,0)</f>
        <v>7.0000000000000007E-2</v>
      </c>
      <c r="X100" s="58">
        <f t="shared" si="27"/>
        <v>864.01657743406736</v>
      </c>
      <c r="Y100" s="75">
        <f>X100*VLOOKUP(U$6,Data!$A$4:$G$8,2,FALSE)</f>
        <v>7344.1409081895727</v>
      </c>
      <c r="Z100" s="75">
        <f t="shared" si="28"/>
        <v>23513.594000169971</v>
      </c>
      <c r="AA100" s="11">
        <f>AA99*(1+VLOOKUP(AA$6,Data!$A$3:$G$8,6,0))^(1/12)</f>
        <v>12475.656564196286</v>
      </c>
      <c r="AB100" s="59">
        <f>AA100*VLOOKUP(AA$6,Data!$A$4:$G$8,3,FALSE)</f>
        <v>34308.055551539786</v>
      </c>
      <c r="AC100" s="37">
        <f>VLOOKUP(AA$6,Data!$A$3:$G$8,5,FALSE)+IF($B100=refund_inc_year,refund_inc,0)</f>
        <v>0.08</v>
      </c>
      <c r="AD100" s="58">
        <f t="shared" si="29"/>
        <v>998.05252513570292</v>
      </c>
      <c r="AE100" s="75">
        <f>AD100*VLOOKUP(AA$6,Data!$A$4:$G$8,2,FALSE)</f>
        <v>9980.5252513570285</v>
      </c>
      <c r="AF100" s="75">
        <f t="shared" si="30"/>
        <v>24327.530300182756</v>
      </c>
      <c r="AG100" s="61">
        <f t="shared" si="31"/>
        <v>55031.014381448818</v>
      </c>
      <c r="AH100" s="60">
        <f>'Combined Admin'!D99</f>
        <v>17500</v>
      </c>
      <c r="AI100" s="60">
        <f t="shared" si="18"/>
        <v>0</v>
      </c>
      <c r="AJ100" s="60">
        <f t="shared" si="32"/>
        <v>17500</v>
      </c>
      <c r="AK100" s="60">
        <f t="shared" si="33"/>
        <v>37531.014381448818</v>
      </c>
      <c r="AL100" s="62">
        <f t="shared" si="19"/>
        <v>1008170.8196447137</v>
      </c>
    </row>
    <row r="101" spans="1:38" x14ac:dyDescent="0.25">
      <c r="A101" s="2">
        <v>94</v>
      </c>
      <c r="B101" s="36">
        <f t="shared" si="20"/>
        <v>8</v>
      </c>
      <c r="C101" s="11">
        <f>C100*(1+VLOOKUP(C$6,Data!$A$3:$G$8,6,0))^(1/12)</f>
        <v>5298.6341085177901</v>
      </c>
      <c r="D101" s="59">
        <f>C101*VLOOKUP(C$6,Data!$A$4:$G$8,3,FALSE)</f>
        <v>2649.317054258895</v>
      </c>
      <c r="E101" s="37">
        <f>VLOOKUP(C$6,Data!$A$3:$G$8,5,FALSE)+IF($B101=refund_inc_year,refund_inc,0)</f>
        <v>7.0000000000000007E-2</v>
      </c>
      <c r="F101" s="58">
        <f t="shared" si="21"/>
        <v>370.90438759624533</v>
      </c>
      <c r="G101" s="75">
        <f>F101*VLOOKUP(C$6,Data!$A$4:$G$8,2,FALSE)</f>
        <v>1854.5219379812265</v>
      </c>
      <c r="H101" s="75">
        <f t="shared" si="22"/>
        <v>794.79511627766851</v>
      </c>
      <c r="I101" s="11">
        <f>I100*(1+VLOOKUP(I$6,Data!$A$3:$G$8,6,0))^(1/12)</f>
        <v>9769.9837898263904</v>
      </c>
      <c r="J101" s="59">
        <f>I101*VLOOKUP(I$6,Data!$A$4:$G$8,3,FALSE)</f>
        <v>2930.9951369479172</v>
      </c>
      <c r="K101" s="37">
        <f>VLOOKUP(I$6,Data!$A$3:$G$8,5,FALSE)+IF($B101=refund_inc_year,refund_inc,0)</f>
        <v>0.06</v>
      </c>
      <c r="L101" s="58">
        <f t="shared" si="23"/>
        <v>586.19902738958342</v>
      </c>
      <c r="M101" s="75">
        <f>L101*VLOOKUP(I$6,Data!$A$4:$G$8,2,FALSE)</f>
        <v>3517.1941643375003</v>
      </c>
      <c r="N101" s="75">
        <f t="shared" si="24"/>
        <v>-586.19902738958308</v>
      </c>
      <c r="O101" s="11">
        <f>O100*(1+VLOOKUP(O$6,Data!$A$3:$G$8,6,0))^(1/12)</f>
        <v>11216.903425152816</v>
      </c>
      <c r="P101" s="59">
        <f>O101*VLOOKUP(O$6,Data!$A$4:$G$8,3,FALSE)</f>
        <v>11216.903425152816</v>
      </c>
      <c r="Q101" s="37">
        <f>VLOOKUP(O$6,Data!$A$3:$G$8,5,FALSE)+IF($B101=refund_inc_year,refund_inc,0)</f>
        <v>0.05</v>
      </c>
      <c r="R101" s="58">
        <f t="shared" si="25"/>
        <v>560.8451712576408</v>
      </c>
      <c r="S101" s="75">
        <f>R101*VLOOKUP(O$6,Data!$A$4:$G$8,2,FALSE)</f>
        <v>4206.3387844323061</v>
      </c>
      <c r="T101" s="75">
        <f t="shared" si="26"/>
        <v>7010.5646407205095</v>
      </c>
      <c r="U101" s="11">
        <f>U100*(1+VLOOKUP(U$6,Data!$A$3:$G$8,6,0))^(1/12)</f>
        <v>12363.47958654152</v>
      </c>
      <c r="V101" s="59">
        <f>U101*VLOOKUP(U$6,Data!$A$4:$G$8,3,FALSE)</f>
        <v>30908.698966353801</v>
      </c>
      <c r="W101" s="37">
        <f>VLOOKUP(U$6,Data!$A$3:$G$8,5,FALSE)+IF($B101=refund_inc_year,refund_inc,0)</f>
        <v>7.0000000000000007E-2</v>
      </c>
      <c r="X101" s="58">
        <f t="shared" si="27"/>
        <v>865.44357105790652</v>
      </c>
      <c r="Y101" s="75">
        <f>X101*VLOOKUP(U$6,Data!$A$4:$G$8,2,FALSE)</f>
        <v>7356.2703539922059</v>
      </c>
      <c r="Z101" s="75">
        <f t="shared" si="28"/>
        <v>23552.428612361597</v>
      </c>
      <c r="AA101" s="11">
        <f>AA100*(1+VLOOKUP(AA$6,Data!$A$3:$G$8,6,0))^(1/12)</f>
        <v>12506.424898870206</v>
      </c>
      <c r="AB101" s="59">
        <f>AA101*VLOOKUP(AA$6,Data!$A$4:$G$8,3,FALSE)</f>
        <v>34392.668471893063</v>
      </c>
      <c r="AC101" s="37">
        <f>VLOOKUP(AA$6,Data!$A$3:$G$8,5,FALSE)+IF($B101=refund_inc_year,refund_inc,0)</f>
        <v>0.08</v>
      </c>
      <c r="AD101" s="58">
        <f t="shared" si="29"/>
        <v>1000.5139919096165</v>
      </c>
      <c r="AE101" s="75">
        <f>AD101*VLOOKUP(AA$6,Data!$A$4:$G$8,2,FALSE)</f>
        <v>10005.139919096166</v>
      </c>
      <c r="AF101" s="75">
        <f t="shared" si="30"/>
        <v>24387.528552796895</v>
      </c>
      <c r="AG101" s="61">
        <f t="shared" si="31"/>
        <v>55159.117894767085</v>
      </c>
      <c r="AH101" s="60">
        <f>'Combined Admin'!D100</f>
        <v>17500</v>
      </c>
      <c r="AI101" s="60">
        <f t="shared" si="18"/>
        <v>0</v>
      </c>
      <c r="AJ101" s="60">
        <f t="shared" si="32"/>
        <v>17500</v>
      </c>
      <c r="AK101" s="60">
        <f t="shared" si="33"/>
        <v>37659.117894767085</v>
      </c>
      <c r="AL101" s="62">
        <f t="shared" si="19"/>
        <v>976734.11623067094</v>
      </c>
    </row>
    <row r="102" spans="1:38" x14ac:dyDescent="0.25">
      <c r="A102" s="2">
        <v>95</v>
      </c>
      <c r="B102" s="36">
        <f t="shared" si="20"/>
        <v>8</v>
      </c>
      <c r="C102" s="11">
        <f>C101*(1+VLOOKUP(C$6,Data!$A$3:$G$8,6,0))^(1/12)</f>
        <v>5307.3852335371348</v>
      </c>
      <c r="D102" s="59">
        <f>C102*VLOOKUP(C$6,Data!$A$4:$G$8,3,FALSE)</f>
        <v>2653.6926167685674</v>
      </c>
      <c r="E102" s="37">
        <f>VLOOKUP(C$6,Data!$A$3:$G$8,5,FALSE)+IF($B102=refund_inc_year,refund_inc,0)</f>
        <v>7.0000000000000007E-2</v>
      </c>
      <c r="F102" s="58">
        <f t="shared" si="21"/>
        <v>371.51696634759946</v>
      </c>
      <c r="G102" s="75">
        <f>F102*VLOOKUP(C$6,Data!$A$4:$G$8,2,FALSE)</f>
        <v>1857.5848317379973</v>
      </c>
      <c r="H102" s="75">
        <f t="shared" si="22"/>
        <v>796.10778503057008</v>
      </c>
      <c r="I102" s="11">
        <f>I101*(1+VLOOKUP(I$6,Data!$A$3:$G$8,6,0))^(1/12)</f>
        <v>9778.0883637565948</v>
      </c>
      <c r="J102" s="59">
        <f>I102*VLOOKUP(I$6,Data!$A$4:$G$8,3,FALSE)</f>
        <v>2933.4265091269785</v>
      </c>
      <c r="K102" s="37">
        <f>VLOOKUP(I$6,Data!$A$3:$G$8,5,FALSE)+IF($B102=refund_inc_year,refund_inc,0)</f>
        <v>0.06</v>
      </c>
      <c r="L102" s="58">
        <f t="shared" si="23"/>
        <v>586.68530182539564</v>
      </c>
      <c r="M102" s="75">
        <f>L102*VLOOKUP(I$6,Data!$A$4:$G$8,2,FALSE)</f>
        <v>3520.1118109523741</v>
      </c>
      <c r="N102" s="75">
        <f t="shared" si="24"/>
        <v>-586.68530182539553</v>
      </c>
      <c r="O102" s="11">
        <f>O101*(1+VLOOKUP(O$6,Data!$A$3:$G$8,6,0))^(1/12)</f>
        <v>11262.602478176117</v>
      </c>
      <c r="P102" s="59">
        <f>O102*VLOOKUP(O$6,Data!$A$4:$G$8,3,FALSE)</f>
        <v>11262.602478176117</v>
      </c>
      <c r="Q102" s="37">
        <f>VLOOKUP(O$6,Data!$A$3:$G$8,5,FALSE)+IF($B102=refund_inc_year,refund_inc,0)</f>
        <v>0.05</v>
      </c>
      <c r="R102" s="58">
        <f t="shared" si="25"/>
        <v>563.1301239088059</v>
      </c>
      <c r="S102" s="75">
        <f>R102*VLOOKUP(O$6,Data!$A$4:$G$8,2,FALSE)</f>
        <v>4223.4759293160441</v>
      </c>
      <c r="T102" s="75">
        <f t="shared" si="26"/>
        <v>7039.1265488600729</v>
      </c>
      <c r="U102" s="11">
        <f>U101*(1+VLOOKUP(U$6,Data!$A$3:$G$8,6,0))^(1/12)</f>
        <v>12383.898878253323</v>
      </c>
      <c r="V102" s="59">
        <f>U102*VLOOKUP(U$6,Data!$A$4:$G$8,3,FALSE)</f>
        <v>30959.74719563331</v>
      </c>
      <c r="W102" s="37">
        <f>VLOOKUP(U$6,Data!$A$3:$G$8,5,FALSE)+IF($B102=refund_inc_year,refund_inc,0)</f>
        <v>7.0000000000000007E-2</v>
      </c>
      <c r="X102" s="58">
        <f t="shared" si="27"/>
        <v>866.87292147773269</v>
      </c>
      <c r="Y102" s="75">
        <f>X102*VLOOKUP(U$6,Data!$A$4:$G$8,2,FALSE)</f>
        <v>7368.4198325607276</v>
      </c>
      <c r="Z102" s="75">
        <f t="shared" si="28"/>
        <v>23591.327363072582</v>
      </c>
      <c r="AA102" s="11">
        <f>AA101*(1+VLOOKUP(AA$6,Data!$A$3:$G$8,6,0))^(1/12)</f>
        <v>12537.269116557876</v>
      </c>
      <c r="AB102" s="59">
        <f>AA102*VLOOKUP(AA$6,Data!$A$4:$G$8,3,FALSE)</f>
        <v>34477.490070534157</v>
      </c>
      <c r="AC102" s="37">
        <f>VLOOKUP(AA$6,Data!$A$3:$G$8,5,FALSE)+IF($B102=refund_inc_year,refund_inc,0)</f>
        <v>0.08</v>
      </c>
      <c r="AD102" s="58">
        <f t="shared" si="29"/>
        <v>1002.9815293246302</v>
      </c>
      <c r="AE102" s="75">
        <f>AD102*VLOOKUP(AA$6,Data!$A$4:$G$8,2,FALSE)</f>
        <v>10029.815293246302</v>
      </c>
      <c r="AF102" s="75">
        <f t="shared" si="30"/>
        <v>24447.674777287855</v>
      </c>
      <c r="AG102" s="61">
        <f t="shared" si="31"/>
        <v>55287.551172425679</v>
      </c>
      <c r="AH102" s="60">
        <f>'Combined Admin'!D101</f>
        <v>17500</v>
      </c>
      <c r="AI102" s="60">
        <f t="shared" si="18"/>
        <v>0</v>
      </c>
      <c r="AJ102" s="60">
        <f t="shared" si="32"/>
        <v>17500</v>
      </c>
      <c r="AK102" s="60">
        <f t="shared" si="33"/>
        <v>37787.551172425679</v>
      </c>
      <c r="AL102" s="62">
        <f t="shared" si="19"/>
        <v>944979.27697678143</v>
      </c>
    </row>
    <row r="103" spans="1:38" x14ac:dyDescent="0.25">
      <c r="A103" s="2">
        <v>96</v>
      </c>
      <c r="B103" s="36">
        <f t="shared" si="20"/>
        <v>8</v>
      </c>
      <c r="C103" s="11">
        <f>C102*(1+VLOOKUP(C$6,Data!$A$3:$G$8,6,0))^(1/12)</f>
        <v>5316.150811750932</v>
      </c>
      <c r="D103" s="59">
        <f>C103*VLOOKUP(C$6,Data!$A$4:$G$8,3,FALSE)</f>
        <v>2658.075405875466</v>
      </c>
      <c r="E103" s="37">
        <f>VLOOKUP(C$6,Data!$A$3:$G$8,5,FALSE)+IF($B103=refund_inc_year,refund_inc,0)</f>
        <v>7.0000000000000007E-2</v>
      </c>
      <c r="F103" s="58">
        <f t="shared" si="21"/>
        <v>372.13055682256527</v>
      </c>
      <c r="G103" s="75">
        <f>F103*VLOOKUP(C$6,Data!$A$4:$G$8,2,FALSE)</f>
        <v>1860.6527841128263</v>
      </c>
      <c r="H103" s="75">
        <f t="shared" si="22"/>
        <v>797.42262176263966</v>
      </c>
      <c r="I103" s="11">
        <f>I102*(1+VLOOKUP(I$6,Data!$A$3:$G$8,6,0))^(1/12)</f>
        <v>9786.1996607397759</v>
      </c>
      <c r="J103" s="59">
        <f>I103*VLOOKUP(I$6,Data!$A$4:$G$8,3,FALSE)</f>
        <v>2935.8598982219328</v>
      </c>
      <c r="K103" s="37">
        <f>VLOOKUP(I$6,Data!$A$3:$G$8,5,FALSE)+IF($B103=refund_inc_year,refund_inc,0)</f>
        <v>0.06</v>
      </c>
      <c r="L103" s="58">
        <f t="shared" si="23"/>
        <v>587.17197964438651</v>
      </c>
      <c r="M103" s="75">
        <f>L103*VLOOKUP(I$6,Data!$A$4:$G$8,2,FALSE)</f>
        <v>3523.0318778663191</v>
      </c>
      <c r="N103" s="75">
        <f t="shared" si="24"/>
        <v>-587.17197964438628</v>
      </c>
      <c r="O103" s="11">
        <f>O102*(1+VLOOKUP(O$6,Data!$A$3:$G$8,6,0))^(1/12)</f>
        <v>11308.487714798232</v>
      </c>
      <c r="P103" s="59">
        <f>O103*VLOOKUP(O$6,Data!$A$4:$G$8,3,FALSE)</f>
        <v>11308.487714798232</v>
      </c>
      <c r="Q103" s="37">
        <f>VLOOKUP(O$6,Data!$A$3:$G$8,5,FALSE)+IF($B103=refund_inc_year,refund_inc,0)</f>
        <v>0.05</v>
      </c>
      <c r="R103" s="58">
        <f t="shared" si="25"/>
        <v>565.4243857399116</v>
      </c>
      <c r="S103" s="75">
        <f>R103*VLOOKUP(O$6,Data!$A$4:$G$8,2,FALSE)</f>
        <v>4240.6828930493366</v>
      </c>
      <c r="T103" s="75">
        <f t="shared" si="26"/>
        <v>7067.8048217488949</v>
      </c>
      <c r="U103" s="11">
        <f>U102*(1+VLOOKUP(U$6,Data!$A$3:$G$8,6,0))^(1/12)</f>
        <v>12404.351894085517</v>
      </c>
      <c r="V103" s="59">
        <f>U103*VLOOKUP(U$6,Data!$A$4:$G$8,3,FALSE)</f>
        <v>31010.879735213792</v>
      </c>
      <c r="W103" s="37">
        <f>VLOOKUP(U$6,Data!$A$3:$G$8,5,FALSE)+IF($B103=refund_inc_year,refund_inc,0)</f>
        <v>7.0000000000000007E-2</v>
      </c>
      <c r="X103" s="58">
        <f t="shared" si="27"/>
        <v>868.30463258598627</v>
      </c>
      <c r="Y103" s="75">
        <f>X103*VLOOKUP(U$6,Data!$A$4:$G$8,2,FALSE)</f>
        <v>7380.5893769808836</v>
      </c>
      <c r="Z103" s="75">
        <f t="shared" si="28"/>
        <v>23630.290358232909</v>
      </c>
      <c r="AA103" s="11">
        <f>AA102*(1+VLOOKUP(AA$6,Data!$A$3:$G$8,6,0))^(1/12)</f>
        <v>12568.18940440728</v>
      </c>
      <c r="AB103" s="59">
        <f>AA103*VLOOKUP(AA$6,Data!$A$4:$G$8,3,FALSE)</f>
        <v>34562.520862120022</v>
      </c>
      <c r="AC103" s="37">
        <f>VLOOKUP(AA$6,Data!$A$3:$G$8,5,FALSE)+IF($B103=refund_inc_year,refund_inc,0)</f>
        <v>0.08</v>
      </c>
      <c r="AD103" s="58">
        <f t="shared" si="29"/>
        <v>1005.4551523525824</v>
      </c>
      <c r="AE103" s="75">
        <f>AD103*VLOOKUP(AA$6,Data!$A$4:$G$8,2,FALSE)</f>
        <v>10054.551523525824</v>
      </c>
      <c r="AF103" s="75">
        <f t="shared" si="30"/>
        <v>24507.969338594197</v>
      </c>
      <c r="AG103" s="61">
        <f t="shared" si="31"/>
        <v>55416.315160694256</v>
      </c>
      <c r="AH103" s="60">
        <f>'Combined Admin'!D102</f>
        <v>17500</v>
      </c>
      <c r="AI103" s="60">
        <f t="shared" si="18"/>
        <v>0</v>
      </c>
      <c r="AJ103" s="60">
        <f t="shared" si="32"/>
        <v>17500</v>
      </c>
      <c r="AK103" s="60">
        <f t="shared" si="33"/>
        <v>37916.315160694256</v>
      </c>
      <c r="AL103" s="62">
        <f t="shared" si="19"/>
        <v>912904.04901331419</v>
      </c>
    </row>
    <row r="104" spans="1:38" x14ac:dyDescent="0.25">
      <c r="A104" s="2">
        <v>97</v>
      </c>
      <c r="B104" s="36">
        <f t="shared" si="20"/>
        <v>9</v>
      </c>
      <c r="C104" s="11">
        <f>C103*(1+VLOOKUP(C$6,Data!$A$3:$G$8,6,0))^(1/12)</f>
        <v>5324.9308670298078</v>
      </c>
      <c r="D104" s="59">
        <f>C104*VLOOKUP(C$6,Data!$A$4:$G$8,3,FALSE)</f>
        <v>2662.4654335149039</v>
      </c>
      <c r="E104" s="37">
        <f>VLOOKUP(C$6,Data!$A$3:$G$8,5,FALSE)+IF($B104=refund_inc_year,refund_inc,0)</f>
        <v>7.0000000000000007E-2</v>
      </c>
      <c r="F104" s="58">
        <f t="shared" si="21"/>
        <v>372.74516069208659</v>
      </c>
      <c r="G104" s="75">
        <f>F104*VLOOKUP(C$6,Data!$A$4:$G$8,2,FALSE)</f>
        <v>1863.7258034604329</v>
      </c>
      <c r="H104" s="75">
        <f t="shared" si="22"/>
        <v>798.73963005447104</v>
      </c>
      <c r="I104" s="11">
        <f>I103*(1+VLOOKUP(I$6,Data!$A$3:$G$8,6,0))^(1/12)</f>
        <v>9794.3176863529607</v>
      </c>
      <c r="J104" s="59">
        <f>I104*VLOOKUP(I$6,Data!$A$4:$G$8,3,FALSE)</f>
        <v>2938.2953059058882</v>
      </c>
      <c r="K104" s="37">
        <f>VLOOKUP(I$6,Data!$A$3:$G$8,5,FALSE)+IF($B104=refund_inc_year,refund_inc,0)</f>
        <v>0.06</v>
      </c>
      <c r="L104" s="58">
        <f t="shared" si="23"/>
        <v>587.65906118117766</v>
      </c>
      <c r="M104" s="75">
        <f>L104*VLOOKUP(I$6,Data!$A$4:$G$8,2,FALSE)</f>
        <v>3525.9543670870662</v>
      </c>
      <c r="N104" s="75">
        <f t="shared" si="24"/>
        <v>-587.659061181178</v>
      </c>
      <c r="O104" s="11">
        <f>O103*(1+VLOOKUP(O$6,Data!$A$3:$G$8,6,0))^(1/12)</f>
        <v>11354.559893554186</v>
      </c>
      <c r="P104" s="59">
        <f>O104*VLOOKUP(O$6,Data!$A$4:$G$8,3,FALSE)</f>
        <v>11354.559893554186</v>
      </c>
      <c r="Q104" s="37">
        <f>VLOOKUP(O$6,Data!$A$3:$G$8,5,FALSE)+IF($B104=refund_inc_year,refund_inc,0)</f>
        <v>0.05</v>
      </c>
      <c r="R104" s="58">
        <f t="shared" si="25"/>
        <v>567.72799467770926</v>
      </c>
      <c r="S104" s="75">
        <f>R104*VLOOKUP(O$6,Data!$A$4:$G$8,2,FALSE)</f>
        <v>4257.9599600828196</v>
      </c>
      <c r="T104" s="75">
        <f t="shared" si="26"/>
        <v>7096.5999334713661</v>
      </c>
      <c r="U104" s="11">
        <f>U103*(1+VLOOKUP(U$6,Data!$A$3:$G$8,6,0))^(1/12)</f>
        <v>12424.838689736227</v>
      </c>
      <c r="V104" s="59">
        <f>U104*VLOOKUP(U$6,Data!$A$4:$G$8,3,FALSE)</f>
        <v>31062.096724340568</v>
      </c>
      <c r="W104" s="37">
        <f>VLOOKUP(U$6,Data!$A$3:$G$8,5,FALSE)+IF($B104=refund_inc_year,refund_inc,0)</f>
        <v>7.0000000000000007E-2</v>
      </c>
      <c r="X104" s="58">
        <f t="shared" si="27"/>
        <v>869.73870828153599</v>
      </c>
      <c r="Y104" s="75">
        <f>X104*VLOOKUP(U$6,Data!$A$4:$G$8,2,FALSE)</f>
        <v>7392.7790203930563</v>
      </c>
      <c r="Z104" s="75">
        <f t="shared" si="28"/>
        <v>23669.317703947512</v>
      </c>
      <c r="AA104" s="11">
        <f>AA103*(1+VLOOKUP(AA$6,Data!$A$3:$G$8,6,0))^(1/12)</f>
        <v>12599.185950027957</v>
      </c>
      <c r="AB104" s="59">
        <f>AA104*VLOOKUP(AA$6,Data!$A$4:$G$8,3,FALSE)</f>
        <v>34647.761362576879</v>
      </c>
      <c r="AC104" s="37">
        <f>VLOOKUP(AA$6,Data!$A$3:$G$8,5,FALSE)+IF($B104=refund_inc_year,refund_inc,0)</f>
        <v>0.08</v>
      </c>
      <c r="AD104" s="58">
        <f t="shared" si="29"/>
        <v>1007.9348760022366</v>
      </c>
      <c r="AE104" s="75">
        <f>AD104*VLOOKUP(AA$6,Data!$A$4:$G$8,2,FALSE)</f>
        <v>10079.348760022365</v>
      </c>
      <c r="AF104" s="75">
        <f t="shared" si="30"/>
        <v>24568.412602554512</v>
      </c>
      <c r="AG104" s="61">
        <f t="shared" si="31"/>
        <v>55545.410808846682</v>
      </c>
      <c r="AH104" s="60">
        <f>'Combined Admin'!D103</f>
        <v>17500</v>
      </c>
      <c r="AI104" s="60">
        <f t="shared" ref="AI104:AI127" si="34">IF($B104=imp_cost_year,imp_cost/12,0)</f>
        <v>0</v>
      </c>
      <c r="AJ104" s="60">
        <f t="shared" si="32"/>
        <v>17500</v>
      </c>
      <c r="AK104" s="60">
        <f t="shared" si="33"/>
        <v>38045.410808846682</v>
      </c>
      <c r="AL104" s="62">
        <f t="shared" ref="AL104:AL127" si="35">(AK104+AL105)/(1+disc_rate)^(1/12)</f>
        <v>880506.16490585345</v>
      </c>
    </row>
    <row r="105" spans="1:38" x14ac:dyDescent="0.25">
      <c r="A105" s="2">
        <v>98</v>
      </c>
      <c r="B105" s="36">
        <f t="shared" si="20"/>
        <v>9</v>
      </c>
      <c r="C105" s="11">
        <f>C104*(1+VLOOKUP(C$6,Data!$A$3:$G$8,6,0))^(1/12)</f>
        <v>5333.7254232838122</v>
      </c>
      <c r="D105" s="59">
        <f>C105*VLOOKUP(C$6,Data!$A$4:$G$8,3,FALSE)</f>
        <v>2666.8627116419061</v>
      </c>
      <c r="E105" s="37">
        <f>VLOOKUP(C$6,Data!$A$3:$G$8,5,FALSE)+IF($B105=refund_inc_year,refund_inc,0)</f>
        <v>7.0000000000000007E-2</v>
      </c>
      <c r="F105" s="58">
        <f t="shared" si="21"/>
        <v>373.3607796298669</v>
      </c>
      <c r="G105" s="75">
        <f>F105*VLOOKUP(C$6,Data!$A$4:$G$8,2,FALSE)</f>
        <v>1866.8038981493346</v>
      </c>
      <c r="H105" s="75">
        <f t="shared" si="22"/>
        <v>800.05881349257152</v>
      </c>
      <c r="I105" s="11">
        <f>I104*(1+VLOOKUP(I$6,Data!$A$3:$G$8,6,0))^(1/12)</f>
        <v>9802.4424461778053</v>
      </c>
      <c r="J105" s="59">
        <f>I105*VLOOKUP(I$6,Data!$A$4:$G$8,3,FALSE)</f>
        <v>2940.7327338533414</v>
      </c>
      <c r="K105" s="37">
        <f>VLOOKUP(I$6,Data!$A$3:$G$8,5,FALSE)+IF($B105=refund_inc_year,refund_inc,0)</f>
        <v>0.06</v>
      </c>
      <c r="L105" s="58">
        <f t="shared" si="23"/>
        <v>588.14654677066835</v>
      </c>
      <c r="M105" s="75">
        <f>L105*VLOOKUP(I$6,Data!$A$4:$G$8,2,FALSE)</f>
        <v>3528.8792806240099</v>
      </c>
      <c r="N105" s="75">
        <f t="shared" si="24"/>
        <v>-588.14654677066846</v>
      </c>
      <c r="O105" s="11">
        <f>O104*(1+VLOOKUP(O$6,Data!$A$3:$G$8,6,0))^(1/12)</f>
        <v>11400.819776069375</v>
      </c>
      <c r="P105" s="59">
        <f>O105*VLOOKUP(O$6,Data!$A$4:$G$8,3,FALSE)</f>
        <v>11400.819776069375</v>
      </c>
      <c r="Q105" s="37">
        <f>VLOOKUP(O$6,Data!$A$3:$G$8,5,FALSE)+IF($B105=refund_inc_year,refund_inc,0)</f>
        <v>0.05</v>
      </c>
      <c r="R105" s="58">
        <f t="shared" si="25"/>
        <v>570.04098880346874</v>
      </c>
      <c r="S105" s="75">
        <f>R105*VLOOKUP(O$6,Data!$A$4:$G$8,2,FALSE)</f>
        <v>4275.3074160260157</v>
      </c>
      <c r="T105" s="75">
        <f t="shared" si="26"/>
        <v>7125.512360043359</v>
      </c>
      <c r="U105" s="11">
        <f>U104*(1+VLOOKUP(U$6,Data!$A$3:$G$8,6,0))^(1/12)</f>
        <v>12445.359320995571</v>
      </c>
      <c r="V105" s="59">
        <f>U105*VLOOKUP(U$6,Data!$A$4:$G$8,3,FALSE)</f>
        <v>31113.398302488928</v>
      </c>
      <c r="W105" s="37">
        <f>VLOOKUP(U$6,Data!$A$3:$G$8,5,FALSE)+IF($B105=refund_inc_year,refund_inc,0)</f>
        <v>7.0000000000000007E-2</v>
      </c>
      <c r="X105" s="58">
        <f t="shared" si="27"/>
        <v>871.17515246969003</v>
      </c>
      <c r="Y105" s="75">
        <f>X105*VLOOKUP(U$6,Data!$A$4:$G$8,2,FALSE)</f>
        <v>7404.9887959923653</v>
      </c>
      <c r="Z105" s="75">
        <f t="shared" si="28"/>
        <v>23708.409506496562</v>
      </c>
      <c r="AA105" s="11">
        <f>AA104*(1+VLOOKUP(AA$6,Data!$A$3:$G$8,6,0))^(1/12)</f>
        <v>12630.258941492144</v>
      </c>
      <c r="AB105" s="59">
        <f>AA105*VLOOKUP(AA$6,Data!$A$4:$G$8,3,FALSE)</f>
        <v>34733.212089103399</v>
      </c>
      <c r="AC105" s="37">
        <f>VLOOKUP(AA$6,Data!$A$3:$G$8,5,FALSE)+IF($B105=refund_inc_year,refund_inc,0)</f>
        <v>0.08</v>
      </c>
      <c r="AD105" s="58">
        <f t="shared" si="29"/>
        <v>1010.4207153193715</v>
      </c>
      <c r="AE105" s="75">
        <f>AD105*VLOOKUP(AA$6,Data!$A$4:$G$8,2,FALSE)</f>
        <v>10104.207153193714</v>
      </c>
      <c r="AF105" s="75">
        <f t="shared" si="30"/>
        <v>24629.004935909685</v>
      </c>
      <c r="AG105" s="61">
        <f t="shared" si="31"/>
        <v>55674.839069171503</v>
      </c>
      <c r="AH105" s="60">
        <f>'Combined Admin'!D104</f>
        <v>17500</v>
      </c>
      <c r="AI105" s="60">
        <f t="shared" si="34"/>
        <v>0</v>
      </c>
      <c r="AJ105" s="60">
        <f t="shared" si="32"/>
        <v>17500</v>
      </c>
      <c r="AK105" s="60">
        <f t="shared" si="33"/>
        <v>38174.839069171503</v>
      </c>
      <c r="AL105" s="62">
        <f t="shared" si="35"/>
        <v>847783.34256425232</v>
      </c>
    </row>
    <row r="106" spans="1:38" x14ac:dyDescent="0.25">
      <c r="A106" s="2">
        <v>99</v>
      </c>
      <c r="B106" s="36">
        <f t="shared" si="20"/>
        <v>9</v>
      </c>
      <c r="C106" s="11">
        <f>C105*(1+VLOOKUP(C$6,Data!$A$3:$G$8,6,0))^(1/12)</f>
        <v>5342.5345044624846</v>
      </c>
      <c r="D106" s="59">
        <f>C106*VLOOKUP(C$6,Data!$A$4:$G$8,3,FALSE)</f>
        <v>2671.2672522312423</v>
      </c>
      <c r="E106" s="37">
        <f>VLOOKUP(C$6,Data!$A$3:$G$8,5,FALSE)+IF($B106=refund_inc_year,refund_inc,0)</f>
        <v>7.0000000000000007E-2</v>
      </c>
      <c r="F106" s="58">
        <f t="shared" si="21"/>
        <v>373.97741531237398</v>
      </c>
      <c r="G106" s="75">
        <f>F106*VLOOKUP(C$6,Data!$A$4:$G$8,2,FALSE)</f>
        <v>1869.8870765618699</v>
      </c>
      <c r="H106" s="75">
        <f t="shared" si="22"/>
        <v>801.38017566937242</v>
      </c>
      <c r="I106" s="11">
        <f>I105*(1+VLOOKUP(I$6,Data!$A$3:$G$8,6,0))^(1/12)</f>
        <v>9810.5739458005937</v>
      </c>
      <c r="J106" s="59">
        <f>I106*VLOOKUP(I$6,Data!$A$4:$G$8,3,FALSE)</f>
        <v>2943.1721837401778</v>
      </c>
      <c r="K106" s="37">
        <f>VLOOKUP(I$6,Data!$A$3:$G$8,5,FALSE)+IF($B106=refund_inc_year,refund_inc,0)</f>
        <v>0.06</v>
      </c>
      <c r="L106" s="58">
        <f t="shared" si="23"/>
        <v>588.63443674803557</v>
      </c>
      <c r="M106" s="75">
        <f>L106*VLOOKUP(I$6,Data!$A$4:$G$8,2,FALSE)</f>
        <v>3531.8066204882134</v>
      </c>
      <c r="N106" s="75">
        <f t="shared" si="24"/>
        <v>-588.63443674803557</v>
      </c>
      <c r="O106" s="11">
        <f>O105*(1+VLOOKUP(O$6,Data!$A$3:$G$8,6,0))^(1/12)</f>
        <v>11447.268127072148</v>
      </c>
      <c r="P106" s="59">
        <f>O106*VLOOKUP(O$6,Data!$A$4:$G$8,3,FALSE)</f>
        <v>11447.268127072148</v>
      </c>
      <c r="Q106" s="37">
        <f>VLOOKUP(O$6,Data!$A$3:$G$8,5,FALSE)+IF($B106=refund_inc_year,refund_inc,0)</f>
        <v>0.05</v>
      </c>
      <c r="R106" s="58">
        <f t="shared" si="25"/>
        <v>572.36340635360739</v>
      </c>
      <c r="S106" s="75">
        <f>R106*VLOOKUP(O$6,Data!$A$4:$G$8,2,FALSE)</f>
        <v>4292.725547652055</v>
      </c>
      <c r="T106" s="75">
        <f t="shared" si="26"/>
        <v>7154.5425794200928</v>
      </c>
      <c r="U106" s="11">
        <f>U105*(1+VLOOKUP(U$6,Data!$A$3:$G$8,6,0))^(1/12)</f>
        <v>12465.913843745806</v>
      </c>
      <c r="V106" s="59">
        <f>U106*VLOOKUP(U$6,Data!$A$4:$G$8,3,FALSE)</f>
        <v>31164.784609364513</v>
      </c>
      <c r="W106" s="37">
        <f>VLOOKUP(U$6,Data!$A$3:$G$8,5,FALSE)+IF($B106=refund_inc_year,refund_inc,0)</f>
        <v>7.0000000000000007E-2</v>
      </c>
      <c r="X106" s="58">
        <f t="shared" si="27"/>
        <v>872.61396906220648</v>
      </c>
      <c r="Y106" s="75">
        <f>X106*VLOOKUP(U$6,Data!$A$4:$G$8,2,FALSE)</f>
        <v>7417.2187370287547</v>
      </c>
      <c r="Z106" s="75">
        <f t="shared" si="28"/>
        <v>23747.565872335759</v>
      </c>
      <c r="AA106" s="11">
        <f>AA105*(1+VLOOKUP(AA$6,Data!$A$3:$G$8,6,0))^(1/12)</f>
        <v>12661.408567335915</v>
      </c>
      <c r="AB106" s="59">
        <f>AA106*VLOOKUP(AA$6,Data!$A$4:$G$8,3,FALSE)</f>
        <v>34818.873560173764</v>
      </c>
      <c r="AC106" s="37">
        <f>VLOOKUP(AA$6,Data!$A$3:$G$8,5,FALSE)+IF($B106=refund_inc_year,refund_inc,0)</f>
        <v>0.08</v>
      </c>
      <c r="AD106" s="58">
        <f t="shared" si="29"/>
        <v>1012.9126853868732</v>
      </c>
      <c r="AE106" s="75">
        <f>AD106*VLOOKUP(AA$6,Data!$A$4:$G$8,2,FALSE)</f>
        <v>10129.126853868733</v>
      </c>
      <c r="AF106" s="75">
        <f t="shared" si="30"/>
        <v>24689.746706305032</v>
      </c>
      <c r="AG106" s="61">
        <f t="shared" si="31"/>
        <v>55804.600896982221</v>
      </c>
      <c r="AH106" s="60">
        <f>'Combined Admin'!D105</f>
        <v>17500</v>
      </c>
      <c r="AI106" s="60">
        <f t="shared" si="34"/>
        <v>0</v>
      </c>
      <c r="AJ106" s="60">
        <f t="shared" si="32"/>
        <v>17500</v>
      </c>
      <c r="AK106" s="60">
        <f t="shared" si="33"/>
        <v>38304.600896982221</v>
      </c>
      <c r="AL106" s="62">
        <f t="shared" si="35"/>
        <v>814733.28515102516</v>
      </c>
    </row>
    <row r="107" spans="1:38" x14ac:dyDescent="0.25">
      <c r="A107" s="2">
        <v>100</v>
      </c>
      <c r="B107" s="36">
        <f t="shared" si="20"/>
        <v>9</v>
      </c>
      <c r="C107" s="11">
        <f>C106*(1+VLOOKUP(C$6,Data!$A$3:$G$8,6,0))^(1/12)</f>
        <v>5351.3581345549183</v>
      </c>
      <c r="D107" s="59">
        <f>C107*VLOOKUP(C$6,Data!$A$4:$G$8,3,FALSE)</f>
        <v>2675.6790672774591</v>
      </c>
      <c r="E107" s="37">
        <f>VLOOKUP(C$6,Data!$A$3:$G$8,5,FALSE)+IF($B107=refund_inc_year,refund_inc,0)</f>
        <v>7.0000000000000007E-2</v>
      </c>
      <c r="F107" s="58">
        <f t="shared" si="21"/>
        <v>374.59506941884433</v>
      </c>
      <c r="G107" s="75">
        <f>F107*VLOOKUP(C$6,Data!$A$4:$G$8,2,FALSE)</f>
        <v>1872.9753470942217</v>
      </c>
      <c r="H107" s="75">
        <f t="shared" si="22"/>
        <v>802.70372018323746</v>
      </c>
      <c r="I107" s="11">
        <f>I106*(1+VLOOKUP(I$6,Data!$A$3:$G$8,6,0))^(1/12)</f>
        <v>9818.7121908122463</v>
      </c>
      <c r="J107" s="59">
        <f>I107*VLOOKUP(I$6,Data!$A$4:$G$8,3,FALSE)</f>
        <v>2945.613657243674</v>
      </c>
      <c r="K107" s="37">
        <f>VLOOKUP(I$6,Data!$A$3:$G$8,5,FALSE)+IF($B107=refund_inc_year,refund_inc,0)</f>
        <v>0.06</v>
      </c>
      <c r="L107" s="58">
        <f t="shared" si="23"/>
        <v>589.12273144873473</v>
      </c>
      <c r="M107" s="75">
        <f>L107*VLOOKUP(I$6,Data!$A$4:$G$8,2,FALSE)</f>
        <v>3534.7363886924086</v>
      </c>
      <c r="N107" s="75">
        <f t="shared" si="24"/>
        <v>-589.12273144873461</v>
      </c>
      <c r="O107" s="11">
        <f>O106*(1+VLOOKUP(O$6,Data!$A$3:$G$8,6,0))^(1/12)</f>
        <v>11493.905714406452</v>
      </c>
      <c r="P107" s="59">
        <f>O107*VLOOKUP(O$6,Data!$A$4:$G$8,3,FALSE)</f>
        <v>11493.905714406452</v>
      </c>
      <c r="Q107" s="37">
        <f>VLOOKUP(O$6,Data!$A$3:$G$8,5,FALSE)+IF($B107=refund_inc_year,refund_inc,0)</f>
        <v>0.05</v>
      </c>
      <c r="R107" s="58">
        <f t="shared" si="25"/>
        <v>574.69528572032266</v>
      </c>
      <c r="S107" s="75">
        <f>R107*VLOOKUP(O$6,Data!$A$4:$G$8,2,FALSE)</f>
        <v>4310.2146429024197</v>
      </c>
      <c r="T107" s="75">
        <f t="shared" si="26"/>
        <v>7183.6910715040322</v>
      </c>
      <c r="U107" s="11">
        <f>U106*(1+VLOOKUP(U$6,Data!$A$3:$G$8,6,0))^(1/12)</f>
        <v>12486.502313961484</v>
      </c>
      <c r="V107" s="59">
        <f>U107*VLOOKUP(U$6,Data!$A$4:$G$8,3,FALSE)</f>
        <v>31216.255784903711</v>
      </c>
      <c r="W107" s="37">
        <f>VLOOKUP(U$6,Data!$A$3:$G$8,5,FALSE)+IF($B107=refund_inc_year,refund_inc,0)</f>
        <v>7.0000000000000007E-2</v>
      </c>
      <c r="X107" s="58">
        <f t="shared" si="27"/>
        <v>874.05516197730401</v>
      </c>
      <c r="Y107" s="75">
        <f>X107*VLOOKUP(U$6,Data!$A$4:$G$8,2,FALSE)</f>
        <v>7429.4688768070837</v>
      </c>
      <c r="Z107" s="75">
        <f t="shared" si="28"/>
        <v>23786.786908096627</v>
      </c>
      <c r="AA107" s="11">
        <f>AA106*(1+VLOOKUP(AA$6,Data!$A$3:$G$8,6,0))^(1/12)</f>
        <v>12692.635016560322</v>
      </c>
      <c r="AB107" s="59">
        <f>AA107*VLOOKUP(AA$6,Data!$A$4:$G$8,3,FALSE)</f>
        <v>34904.746295540885</v>
      </c>
      <c r="AC107" s="37">
        <f>VLOOKUP(AA$6,Data!$A$3:$G$8,5,FALSE)+IF($B107=refund_inc_year,refund_inc,0)</f>
        <v>0.08</v>
      </c>
      <c r="AD107" s="58">
        <f t="shared" si="29"/>
        <v>1015.4108013248258</v>
      </c>
      <c r="AE107" s="75">
        <f>AD107*VLOOKUP(AA$6,Data!$A$4:$G$8,2,FALSE)</f>
        <v>10154.108013248258</v>
      </c>
      <c r="AF107" s="75">
        <f t="shared" si="30"/>
        <v>24750.638282292624</v>
      </c>
      <c r="AG107" s="61">
        <f t="shared" si="31"/>
        <v>55934.697250627782</v>
      </c>
      <c r="AH107" s="60">
        <f>'Combined Admin'!D106</f>
        <v>17500</v>
      </c>
      <c r="AI107" s="60">
        <f t="shared" si="34"/>
        <v>0</v>
      </c>
      <c r="AJ107" s="60">
        <f t="shared" si="32"/>
        <v>17500</v>
      </c>
      <c r="AK107" s="60">
        <f t="shared" si="33"/>
        <v>38434.697250627782</v>
      </c>
      <c r="AL107" s="62">
        <f t="shared" si="35"/>
        <v>781353.68098917603</v>
      </c>
    </row>
    <row r="108" spans="1:38" x14ac:dyDescent="0.25">
      <c r="A108" s="2">
        <v>101</v>
      </c>
      <c r="B108" s="36">
        <f t="shared" si="20"/>
        <v>9</v>
      </c>
      <c r="C108" s="11">
        <f>C107*(1+VLOOKUP(C$6,Data!$A$3:$G$8,6,0))^(1/12)</f>
        <v>5360.1963375898276</v>
      </c>
      <c r="D108" s="59">
        <f>C108*VLOOKUP(C$6,Data!$A$4:$G$8,3,FALSE)</f>
        <v>2680.0981687949138</v>
      </c>
      <c r="E108" s="37">
        <f>VLOOKUP(C$6,Data!$A$3:$G$8,5,FALSE)+IF($B108=refund_inc_year,refund_inc,0)</f>
        <v>7.0000000000000007E-2</v>
      </c>
      <c r="F108" s="58">
        <f t="shared" si="21"/>
        <v>375.21374363128797</v>
      </c>
      <c r="G108" s="75">
        <f>F108*VLOOKUP(C$6,Data!$A$4:$G$8,2,FALSE)</f>
        <v>1876.0687181564399</v>
      </c>
      <c r="H108" s="75">
        <f t="shared" si="22"/>
        <v>804.02945063847392</v>
      </c>
      <c r="I108" s="11">
        <f>I107*(1+VLOOKUP(I$6,Data!$A$3:$G$8,6,0))^(1/12)</f>
        <v>9826.85718680832</v>
      </c>
      <c r="J108" s="59">
        <f>I108*VLOOKUP(I$6,Data!$A$4:$G$8,3,FALSE)</f>
        <v>2948.057156042496</v>
      </c>
      <c r="K108" s="37">
        <f>VLOOKUP(I$6,Data!$A$3:$G$8,5,FALSE)+IF($B108=refund_inc_year,refund_inc,0)</f>
        <v>0.06</v>
      </c>
      <c r="L108" s="58">
        <f t="shared" si="23"/>
        <v>589.6114312084992</v>
      </c>
      <c r="M108" s="75">
        <f>L108*VLOOKUP(I$6,Data!$A$4:$G$8,2,FALSE)</f>
        <v>3537.6685872509952</v>
      </c>
      <c r="N108" s="75">
        <f t="shared" si="24"/>
        <v>-589.6114312084992</v>
      </c>
      <c r="O108" s="11">
        <f>O107*(1+VLOOKUP(O$6,Data!$A$3:$G$8,6,0))^(1/12)</f>
        <v>11540.733309044526</v>
      </c>
      <c r="P108" s="59">
        <f>O108*VLOOKUP(O$6,Data!$A$4:$G$8,3,FALSE)</f>
        <v>11540.733309044526</v>
      </c>
      <c r="Q108" s="37">
        <f>VLOOKUP(O$6,Data!$A$3:$G$8,5,FALSE)+IF($B108=refund_inc_year,refund_inc,0)</f>
        <v>0.05</v>
      </c>
      <c r="R108" s="58">
        <f t="shared" si="25"/>
        <v>577.03666545222632</v>
      </c>
      <c r="S108" s="75">
        <f>R108*VLOOKUP(O$6,Data!$A$4:$G$8,2,FALSE)</f>
        <v>4327.7749908916976</v>
      </c>
      <c r="T108" s="75">
        <f t="shared" si="26"/>
        <v>7212.9583181528287</v>
      </c>
      <c r="U108" s="11">
        <f>U107*(1+VLOOKUP(U$6,Data!$A$3:$G$8,6,0))^(1/12)</f>
        <v>12507.124787709607</v>
      </c>
      <c r="V108" s="59">
        <f>U108*VLOOKUP(U$6,Data!$A$4:$G$8,3,FALSE)</f>
        <v>31267.811969274015</v>
      </c>
      <c r="W108" s="37">
        <f>VLOOKUP(U$6,Data!$A$3:$G$8,5,FALSE)+IF($B108=refund_inc_year,refund_inc,0)</f>
        <v>7.0000000000000007E-2</v>
      </c>
      <c r="X108" s="58">
        <f t="shared" si="27"/>
        <v>875.49873513967259</v>
      </c>
      <c r="Y108" s="75">
        <f>X108*VLOOKUP(U$6,Data!$A$4:$G$8,2,FALSE)</f>
        <v>7441.7392486872168</v>
      </c>
      <c r="Z108" s="75">
        <f t="shared" si="28"/>
        <v>23826.072720586799</v>
      </c>
      <c r="AA108" s="11">
        <f>AA107*(1+VLOOKUP(AA$6,Data!$A$3:$G$8,6,0))^(1/12)</f>
        <v>12723.938478632548</v>
      </c>
      <c r="AB108" s="59">
        <f>AA108*VLOOKUP(AA$6,Data!$A$4:$G$8,3,FALSE)</f>
        <v>34990.830816239504</v>
      </c>
      <c r="AC108" s="37">
        <f>VLOOKUP(AA$6,Data!$A$3:$G$8,5,FALSE)+IF($B108=refund_inc_year,refund_inc,0)</f>
        <v>0.08</v>
      </c>
      <c r="AD108" s="58">
        <f t="shared" si="29"/>
        <v>1017.9150782906039</v>
      </c>
      <c r="AE108" s="75">
        <f>AD108*VLOOKUP(AA$6,Data!$A$4:$G$8,2,FALSE)</f>
        <v>10179.150782906039</v>
      </c>
      <c r="AF108" s="75">
        <f t="shared" si="30"/>
        <v>24811.680033333465</v>
      </c>
      <c r="AG108" s="61">
        <f t="shared" si="31"/>
        <v>56065.12909150307</v>
      </c>
      <c r="AH108" s="60">
        <f>'Combined Admin'!D107</f>
        <v>17500</v>
      </c>
      <c r="AI108" s="60">
        <f t="shared" si="34"/>
        <v>0</v>
      </c>
      <c r="AJ108" s="60">
        <f t="shared" si="32"/>
        <v>17500</v>
      </c>
      <c r="AK108" s="60">
        <f t="shared" si="33"/>
        <v>38565.12909150307</v>
      </c>
      <c r="AL108" s="62">
        <f t="shared" si="35"/>
        <v>747642.20346946002</v>
      </c>
    </row>
    <row r="109" spans="1:38" x14ac:dyDescent="0.25">
      <c r="A109" s="2">
        <v>102</v>
      </c>
      <c r="B109" s="36">
        <f t="shared" si="20"/>
        <v>9</v>
      </c>
      <c r="C109" s="11">
        <f>C108*(1+VLOOKUP(C$6,Data!$A$3:$G$8,6,0))^(1/12)</f>
        <v>5369.0491376356122</v>
      </c>
      <c r="D109" s="59">
        <f>C109*VLOOKUP(C$6,Data!$A$4:$G$8,3,FALSE)</f>
        <v>2684.5245688178061</v>
      </c>
      <c r="E109" s="37">
        <f>VLOOKUP(C$6,Data!$A$3:$G$8,5,FALSE)+IF($B109=refund_inc_year,refund_inc,0)</f>
        <v>7.0000000000000007E-2</v>
      </c>
      <c r="F109" s="58">
        <f t="shared" si="21"/>
        <v>375.83343963449289</v>
      </c>
      <c r="G109" s="75">
        <f>F109*VLOOKUP(C$6,Data!$A$4:$G$8,2,FALSE)</f>
        <v>1879.1671981724644</v>
      </c>
      <c r="H109" s="75">
        <f t="shared" si="22"/>
        <v>805.35737064534169</v>
      </c>
      <c r="I109" s="11">
        <f>I108*(1+VLOOKUP(I$6,Data!$A$3:$G$8,6,0))^(1/12)</f>
        <v>9835.0089393890139</v>
      </c>
      <c r="J109" s="59">
        <f>I109*VLOOKUP(I$6,Data!$A$4:$G$8,3,FALSE)</f>
        <v>2950.5026818167039</v>
      </c>
      <c r="K109" s="37">
        <f>VLOOKUP(I$6,Data!$A$3:$G$8,5,FALSE)+IF($B109=refund_inc_year,refund_inc,0)</f>
        <v>0.06</v>
      </c>
      <c r="L109" s="58">
        <f t="shared" si="23"/>
        <v>590.10053636334078</v>
      </c>
      <c r="M109" s="75">
        <f>L109*VLOOKUP(I$6,Data!$A$4:$G$8,2,FALSE)</f>
        <v>3540.6032181800447</v>
      </c>
      <c r="N109" s="75">
        <f t="shared" si="24"/>
        <v>-590.10053636334078</v>
      </c>
      <c r="O109" s="11">
        <f>O108*(1+VLOOKUP(O$6,Data!$A$3:$G$8,6,0))^(1/12)</f>
        <v>11587.751685099647</v>
      </c>
      <c r="P109" s="59">
        <f>O109*VLOOKUP(O$6,Data!$A$4:$G$8,3,FALSE)</f>
        <v>11587.751685099647</v>
      </c>
      <c r="Q109" s="37">
        <f>VLOOKUP(O$6,Data!$A$3:$G$8,5,FALSE)+IF($B109=refund_inc_year,refund_inc,0)</f>
        <v>0.05</v>
      </c>
      <c r="R109" s="58">
        <f t="shared" si="25"/>
        <v>579.38758425498236</v>
      </c>
      <c r="S109" s="75">
        <f>R109*VLOOKUP(O$6,Data!$A$4:$G$8,2,FALSE)</f>
        <v>4345.4068819123677</v>
      </c>
      <c r="T109" s="75">
        <f t="shared" si="26"/>
        <v>7242.3448031872795</v>
      </c>
      <c r="U109" s="11">
        <f>U108*(1+VLOOKUP(U$6,Data!$A$3:$G$8,6,0))^(1/12)</f>
        <v>12527.781321149771</v>
      </c>
      <c r="V109" s="59">
        <f>U109*VLOOKUP(U$6,Data!$A$4:$G$8,3,FALSE)</f>
        <v>31319.453302874426</v>
      </c>
      <c r="W109" s="37">
        <f>VLOOKUP(U$6,Data!$A$3:$G$8,5,FALSE)+IF($B109=refund_inc_year,refund_inc,0)</f>
        <v>7.0000000000000007E-2</v>
      </c>
      <c r="X109" s="58">
        <f t="shared" si="27"/>
        <v>876.94469248048404</v>
      </c>
      <c r="Y109" s="75">
        <f>X109*VLOOKUP(U$6,Data!$A$4:$G$8,2,FALSE)</f>
        <v>7454.029886084114</v>
      </c>
      <c r="Z109" s="75">
        <f t="shared" si="28"/>
        <v>23865.423416790312</v>
      </c>
      <c r="AA109" s="11">
        <f>AA108*(1+VLOOKUP(AA$6,Data!$A$3:$G$8,6,0))^(1/12)</f>
        <v>12755.319143487051</v>
      </c>
      <c r="AB109" s="59">
        <f>AA109*VLOOKUP(AA$6,Data!$A$4:$G$8,3,FALSE)</f>
        <v>35077.127644589389</v>
      </c>
      <c r="AC109" s="37">
        <f>VLOOKUP(AA$6,Data!$A$3:$G$8,5,FALSE)+IF($B109=refund_inc_year,refund_inc,0)</f>
        <v>0.08</v>
      </c>
      <c r="AD109" s="58">
        <f t="shared" si="29"/>
        <v>1020.4255314789641</v>
      </c>
      <c r="AE109" s="75">
        <f>AD109*VLOOKUP(AA$6,Data!$A$4:$G$8,2,FALSE)</f>
        <v>10204.255314789641</v>
      </c>
      <c r="AF109" s="75">
        <f t="shared" si="30"/>
        <v>24872.872329799749</v>
      </c>
      <c r="AG109" s="61">
        <f t="shared" si="31"/>
        <v>56195.897384059339</v>
      </c>
      <c r="AH109" s="60">
        <f>'Combined Admin'!D108</f>
        <v>17500</v>
      </c>
      <c r="AI109" s="60">
        <f t="shared" si="34"/>
        <v>0</v>
      </c>
      <c r="AJ109" s="60">
        <f t="shared" si="32"/>
        <v>17500</v>
      </c>
      <c r="AK109" s="60">
        <f t="shared" si="33"/>
        <v>38695.897384059339</v>
      </c>
      <c r="AL109" s="62">
        <f t="shared" si="35"/>
        <v>713596.51095707284</v>
      </c>
    </row>
    <row r="110" spans="1:38" x14ac:dyDescent="0.25">
      <c r="A110" s="2">
        <v>103</v>
      </c>
      <c r="B110" s="36">
        <f t="shared" si="20"/>
        <v>9</v>
      </c>
      <c r="C110" s="11">
        <f>C109*(1+VLOOKUP(C$6,Data!$A$3:$G$8,6,0))^(1/12)</f>
        <v>5377.9165588004216</v>
      </c>
      <c r="D110" s="59">
        <f>C110*VLOOKUP(C$6,Data!$A$4:$G$8,3,FALSE)</f>
        <v>2688.9582794002108</v>
      </c>
      <c r="E110" s="37">
        <f>VLOOKUP(C$6,Data!$A$3:$G$8,5,FALSE)+IF($B110=refund_inc_year,refund_inc,0)</f>
        <v>7.0000000000000007E-2</v>
      </c>
      <c r="F110" s="58">
        <f t="shared" si="21"/>
        <v>376.45415911602953</v>
      </c>
      <c r="G110" s="75">
        <f>F110*VLOOKUP(C$6,Data!$A$4:$G$8,2,FALSE)</f>
        <v>1882.2707955801477</v>
      </c>
      <c r="H110" s="75">
        <f t="shared" si="22"/>
        <v>806.68748382006311</v>
      </c>
      <c r="I110" s="11">
        <f>I109*(1+VLOOKUP(I$6,Data!$A$3:$G$8,6,0))^(1/12)</f>
        <v>9843.1674541591728</v>
      </c>
      <c r="J110" s="59">
        <f>I110*VLOOKUP(I$6,Data!$A$4:$G$8,3,FALSE)</f>
        <v>2952.9502362477519</v>
      </c>
      <c r="K110" s="37">
        <f>VLOOKUP(I$6,Data!$A$3:$G$8,5,FALSE)+IF($B110=refund_inc_year,refund_inc,0)</f>
        <v>0.06</v>
      </c>
      <c r="L110" s="58">
        <f t="shared" si="23"/>
        <v>590.59004724955037</v>
      </c>
      <c r="M110" s="75">
        <f>L110*VLOOKUP(I$6,Data!$A$4:$G$8,2,FALSE)</f>
        <v>3543.540283497302</v>
      </c>
      <c r="N110" s="75">
        <f t="shared" si="24"/>
        <v>-590.59004724955003</v>
      </c>
      <c r="O110" s="11">
        <f>O109*(1+VLOOKUP(O$6,Data!$A$3:$G$8,6,0))^(1/12)</f>
        <v>11634.961619838923</v>
      </c>
      <c r="P110" s="59">
        <f>O110*VLOOKUP(O$6,Data!$A$4:$G$8,3,FALSE)</f>
        <v>11634.961619838923</v>
      </c>
      <c r="Q110" s="37">
        <f>VLOOKUP(O$6,Data!$A$3:$G$8,5,FALSE)+IF($B110=refund_inc_year,refund_inc,0)</f>
        <v>0.05</v>
      </c>
      <c r="R110" s="58">
        <f t="shared" si="25"/>
        <v>581.74808099194615</v>
      </c>
      <c r="S110" s="75">
        <f>R110*VLOOKUP(O$6,Data!$A$4:$G$8,2,FALSE)</f>
        <v>4363.1106074395957</v>
      </c>
      <c r="T110" s="75">
        <f t="shared" si="26"/>
        <v>7271.8510123993274</v>
      </c>
      <c r="U110" s="11">
        <f>U109*(1+VLOOKUP(U$6,Data!$A$3:$G$8,6,0))^(1/12)</f>
        <v>12548.471970534327</v>
      </c>
      <c r="V110" s="59">
        <f>U110*VLOOKUP(U$6,Data!$A$4:$G$8,3,FALSE)</f>
        <v>31371.179926335819</v>
      </c>
      <c r="W110" s="37">
        <f>VLOOKUP(U$6,Data!$A$3:$G$8,5,FALSE)+IF($B110=refund_inc_year,refund_inc,0)</f>
        <v>7.0000000000000007E-2</v>
      </c>
      <c r="X110" s="58">
        <f t="shared" si="27"/>
        <v>878.39303793740294</v>
      </c>
      <c r="Y110" s="75">
        <f>X110*VLOOKUP(U$6,Data!$A$4:$G$8,2,FALSE)</f>
        <v>7466.3408224679251</v>
      </c>
      <c r="Z110" s="75">
        <f t="shared" si="28"/>
        <v>23904.839103867893</v>
      </c>
      <c r="AA110" s="11">
        <f>AA109*(1+VLOOKUP(AA$6,Data!$A$3:$G$8,6,0))^(1/12)</f>
        <v>12786.77720152672</v>
      </c>
      <c r="AB110" s="59">
        <f>AA110*VLOOKUP(AA$6,Data!$A$4:$G$8,3,FALSE)</f>
        <v>35163.637304198477</v>
      </c>
      <c r="AC110" s="37">
        <f>VLOOKUP(AA$6,Data!$A$3:$G$8,5,FALSE)+IF($B110=refund_inc_year,refund_inc,0)</f>
        <v>0.08</v>
      </c>
      <c r="AD110" s="58">
        <f t="shared" si="29"/>
        <v>1022.9421761221377</v>
      </c>
      <c r="AE110" s="75">
        <f>AD110*VLOOKUP(AA$6,Data!$A$4:$G$8,2,FALSE)</f>
        <v>10229.421761221376</v>
      </c>
      <c r="AF110" s="75">
        <f t="shared" si="30"/>
        <v>24934.215542977101</v>
      </c>
      <c r="AG110" s="61">
        <f t="shared" si="31"/>
        <v>56327.003095814835</v>
      </c>
      <c r="AH110" s="60">
        <f>'Combined Admin'!D109</f>
        <v>17500</v>
      </c>
      <c r="AI110" s="60">
        <f t="shared" si="34"/>
        <v>0</v>
      </c>
      <c r="AJ110" s="60">
        <f t="shared" si="32"/>
        <v>17500</v>
      </c>
      <c r="AK110" s="60">
        <f t="shared" si="33"/>
        <v>38827.003095814835</v>
      </c>
      <c r="AL110" s="62">
        <f t="shared" si="35"/>
        <v>679214.24669776601</v>
      </c>
    </row>
    <row r="111" spans="1:38" x14ac:dyDescent="0.25">
      <c r="A111" s="2">
        <v>104</v>
      </c>
      <c r="B111" s="36">
        <f t="shared" si="20"/>
        <v>9</v>
      </c>
      <c r="C111" s="11">
        <f>C110*(1+VLOOKUP(C$6,Data!$A$3:$G$8,6,0))^(1/12)</f>
        <v>5386.7986252322235</v>
      </c>
      <c r="D111" s="59">
        <f>C111*VLOOKUP(C$6,Data!$A$4:$G$8,3,FALSE)</f>
        <v>2693.3993126161117</v>
      </c>
      <c r="E111" s="37">
        <f>VLOOKUP(C$6,Data!$A$3:$G$8,5,FALSE)+IF($B111=refund_inc_year,refund_inc,0)</f>
        <v>7.0000000000000007E-2</v>
      </c>
      <c r="F111" s="58">
        <f t="shared" si="21"/>
        <v>377.07590376625569</v>
      </c>
      <c r="G111" s="75">
        <f>F111*VLOOKUP(C$6,Data!$A$4:$G$8,2,FALSE)</f>
        <v>1885.3795188312783</v>
      </c>
      <c r="H111" s="75">
        <f t="shared" si="22"/>
        <v>808.01979378483338</v>
      </c>
      <c r="I111" s="11">
        <f>I110*(1+VLOOKUP(I$6,Data!$A$3:$G$8,6,0))^(1/12)</f>
        <v>9851.3327367282891</v>
      </c>
      <c r="J111" s="59">
        <f>I111*VLOOKUP(I$6,Data!$A$4:$G$8,3,FALSE)</f>
        <v>2955.3998210184868</v>
      </c>
      <c r="K111" s="37">
        <f>VLOOKUP(I$6,Data!$A$3:$G$8,5,FALSE)+IF($B111=refund_inc_year,refund_inc,0)</f>
        <v>0.06</v>
      </c>
      <c r="L111" s="58">
        <f t="shared" si="23"/>
        <v>591.07996420369727</v>
      </c>
      <c r="M111" s="75">
        <f>L111*VLOOKUP(I$6,Data!$A$4:$G$8,2,FALSE)</f>
        <v>3546.4797852221836</v>
      </c>
      <c r="N111" s="75">
        <f t="shared" si="24"/>
        <v>-591.07996420369682</v>
      </c>
      <c r="O111" s="11">
        <f>O110*(1+VLOOKUP(O$6,Data!$A$3:$G$8,6,0))^(1/12)</f>
        <v>11682.363893696145</v>
      </c>
      <c r="P111" s="59">
        <f>O111*VLOOKUP(O$6,Data!$A$4:$G$8,3,FALSE)</f>
        <v>11682.363893696145</v>
      </c>
      <c r="Q111" s="37">
        <f>VLOOKUP(O$6,Data!$A$3:$G$8,5,FALSE)+IF($B111=refund_inc_year,refund_inc,0)</f>
        <v>0.05</v>
      </c>
      <c r="R111" s="58">
        <f t="shared" si="25"/>
        <v>584.11819468480724</v>
      </c>
      <c r="S111" s="75">
        <f>R111*VLOOKUP(O$6,Data!$A$4:$G$8,2,FALSE)</f>
        <v>4380.8864601360547</v>
      </c>
      <c r="T111" s="75">
        <f t="shared" si="26"/>
        <v>7301.4774335600905</v>
      </c>
      <c r="U111" s="11">
        <f>U110*(1+VLOOKUP(U$6,Data!$A$3:$G$8,6,0))^(1/12)</f>
        <v>12569.196792208531</v>
      </c>
      <c r="V111" s="59">
        <f>U111*VLOOKUP(U$6,Data!$A$4:$G$8,3,FALSE)</f>
        <v>31422.991980521329</v>
      </c>
      <c r="W111" s="37">
        <f>VLOOKUP(U$6,Data!$A$3:$G$8,5,FALSE)+IF($B111=refund_inc_year,refund_inc,0)</f>
        <v>7.0000000000000007E-2</v>
      </c>
      <c r="X111" s="58">
        <f t="shared" si="27"/>
        <v>879.84377545459733</v>
      </c>
      <c r="Y111" s="75">
        <f>X111*VLOOKUP(U$6,Data!$A$4:$G$8,2,FALSE)</f>
        <v>7478.6720913640775</v>
      </c>
      <c r="Z111" s="75">
        <f t="shared" si="28"/>
        <v>23944.31988915725</v>
      </c>
      <c r="AA111" s="11">
        <f>AA110*(1+VLOOKUP(AA$6,Data!$A$3:$G$8,6,0))^(1/12)</f>
        <v>12818.312843624028</v>
      </c>
      <c r="AB111" s="59">
        <f>AA111*VLOOKUP(AA$6,Data!$A$4:$G$8,3,FALSE)</f>
        <v>35250.360319966079</v>
      </c>
      <c r="AC111" s="37">
        <f>VLOOKUP(AA$6,Data!$A$3:$G$8,5,FALSE)+IF($B111=refund_inc_year,refund_inc,0)</f>
        <v>0.08</v>
      </c>
      <c r="AD111" s="58">
        <f t="shared" si="29"/>
        <v>1025.4650274899222</v>
      </c>
      <c r="AE111" s="75">
        <f>AD111*VLOOKUP(AA$6,Data!$A$4:$G$8,2,FALSE)</f>
        <v>10254.650274899222</v>
      </c>
      <c r="AF111" s="75">
        <f t="shared" si="30"/>
        <v>24995.710045066859</v>
      </c>
      <c r="AG111" s="61">
        <f t="shared" si="31"/>
        <v>56458.447197365334</v>
      </c>
      <c r="AH111" s="60">
        <f>'Combined Admin'!D110</f>
        <v>17500</v>
      </c>
      <c r="AI111" s="60">
        <f t="shared" si="34"/>
        <v>0</v>
      </c>
      <c r="AJ111" s="60">
        <f t="shared" si="32"/>
        <v>17500</v>
      </c>
      <c r="AK111" s="60">
        <f t="shared" si="33"/>
        <v>38958.447197365334</v>
      </c>
      <c r="AL111" s="62">
        <f t="shared" si="35"/>
        <v>644493.0387233845</v>
      </c>
    </row>
    <row r="112" spans="1:38" x14ac:dyDescent="0.25">
      <c r="A112" s="2">
        <v>105</v>
      </c>
      <c r="B112" s="36">
        <f t="shared" si="20"/>
        <v>9</v>
      </c>
      <c r="C112" s="11">
        <f>C111*(1+VLOOKUP(C$6,Data!$A$3:$G$8,6,0))^(1/12)</f>
        <v>5395.6953611188665</v>
      </c>
      <c r="D112" s="59">
        <f>C112*VLOOKUP(C$6,Data!$A$4:$G$8,3,FALSE)</f>
        <v>2697.8476805594332</v>
      </c>
      <c r="E112" s="37">
        <f>VLOOKUP(C$6,Data!$A$3:$G$8,5,FALSE)+IF($B112=refund_inc_year,refund_inc,0)</f>
        <v>7.0000000000000007E-2</v>
      </c>
      <c r="F112" s="58">
        <f t="shared" si="21"/>
        <v>377.69867527832071</v>
      </c>
      <c r="G112" s="75">
        <f>F112*VLOOKUP(C$6,Data!$A$4:$G$8,2,FALSE)</f>
        <v>1888.4933763916035</v>
      </c>
      <c r="H112" s="75">
        <f t="shared" si="22"/>
        <v>809.3543041678297</v>
      </c>
      <c r="I112" s="11">
        <f>I111*(1+VLOOKUP(I$6,Data!$A$3:$G$8,6,0))^(1/12)</f>
        <v>9859.5047927105115</v>
      </c>
      <c r="J112" s="59">
        <f>I112*VLOOKUP(I$6,Data!$A$4:$G$8,3,FALSE)</f>
        <v>2957.8514378131536</v>
      </c>
      <c r="K112" s="37">
        <f>VLOOKUP(I$6,Data!$A$3:$G$8,5,FALSE)+IF($B112=refund_inc_year,refund_inc,0)</f>
        <v>0.06</v>
      </c>
      <c r="L112" s="58">
        <f t="shared" si="23"/>
        <v>591.57028756263071</v>
      </c>
      <c r="M112" s="75">
        <f>L112*VLOOKUP(I$6,Data!$A$4:$G$8,2,FALSE)</f>
        <v>3549.4217253757843</v>
      </c>
      <c r="N112" s="75">
        <f t="shared" si="24"/>
        <v>-591.57028756263071</v>
      </c>
      <c r="O112" s="11">
        <f>O111*(1+VLOOKUP(O$6,Data!$A$3:$G$8,6,0))^(1/12)</f>
        <v>11729.959290284687</v>
      </c>
      <c r="P112" s="59">
        <f>O112*VLOOKUP(O$6,Data!$A$4:$G$8,3,FALSE)</f>
        <v>11729.959290284687</v>
      </c>
      <c r="Q112" s="37">
        <f>VLOOKUP(O$6,Data!$A$3:$G$8,5,FALSE)+IF($B112=refund_inc_year,refund_inc,0)</f>
        <v>0.05</v>
      </c>
      <c r="R112" s="58">
        <f t="shared" si="25"/>
        <v>586.49796451423435</v>
      </c>
      <c r="S112" s="75">
        <f>R112*VLOOKUP(O$6,Data!$A$4:$G$8,2,FALSE)</f>
        <v>4398.7347338567579</v>
      </c>
      <c r="T112" s="75">
        <f t="shared" si="26"/>
        <v>7331.2245564279292</v>
      </c>
      <c r="U112" s="11">
        <f>U111*(1+VLOOKUP(U$6,Data!$A$3:$G$8,6,0))^(1/12)</f>
        <v>12589.955842610698</v>
      </c>
      <c r="V112" s="59">
        <f>U112*VLOOKUP(U$6,Data!$A$4:$G$8,3,FALSE)</f>
        <v>31474.889606526744</v>
      </c>
      <c r="W112" s="37">
        <f>VLOOKUP(U$6,Data!$A$3:$G$8,5,FALSE)+IF($B112=refund_inc_year,refund_inc,0)</f>
        <v>7.0000000000000007E-2</v>
      </c>
      <c r="X112" s="58">
        <f t="shared" si="27"/>
        <v>881.29690898274896</v>
      </c>
      <c r="Y112" s="75">
        <f>X112*VLOOKUP(U$6,Data!$A$4:$G$8,2,FALSE)</f>
        <v>7491.0237263533663</v>
      </c>
      <c r="Z112" s="75">
        <f t="shared" si="28"/>
        <v>23983.865880173376</v>
      </c>
      <c r="AA112" s="11">
        <f>AA111*(1+VLOOKUP(AA$6,Data!$A$3:$G$8,6,0))^(1/12)</f>
        <v>12849.926261122189</v>
      </c>
      <c r="AB112" s="59">
        <f>AA112*VLOOKUP(AA$6,Data!$A$4:$G$8,3,FALSE)</f>
        <v>35337.297218086023</v>
      </c>
      <c r="AC112" s="37">
        <f>VLOOKUP(AA$6,Data!$A$3:$G$8,5,FALSE)+IF($B112=refund_inc_year,refund_inc,0)</f>
        <v>0.08</v>
      </c>
      <c r="AD112" s="58">
        <f t="shared" si="29"/>
        <v>1027.9941008897752</v>
      </c>
      <c r="AE112" s="75">
        <f>AD112*VLOOKUP(AA$6,Data!$A$4:$G$8,2,FALSE)</f>
        <v>10279.941008897751</v>
      </c>
      <c r="AF112" s="75">
        <f t="shared" si="30"/>
        <v>25057.35620918827</v>
      </c>
      <c r="AG112" s="61">
        <f t="shared" si="31"/>
        <v>56590.230662394773</v>
      </c>
      <c r="AH112" s="60">
        <f>'Combined Admin'!D111</f>
        <v>17500</v>
      </c>
      <c r="AI112" s="60">
        <f t="shared" si="34"/>
        <v>0</v>
      </c>
      <c r="AJ112" s="60">
        <f t="shared" si="32"/>
        <v>17500</v>
      </c>
      <c r="AK112" s="60">
        <f t="shared" si="33"/>
        <v>39090.230662394773</v>
      </c>
      <c r="AL112" s="62">
        <f t="shared" si="35"/>
        <v>609430.49975682166</v>
      </c>
    </row>
    <row r="113" spans="1:38" x14ac:dyDescent="0.25">
      <c r="A113" s="2">
        <v>106</v>
      </c>
      <c r="B113" s="36">
        <f t="shared" si="20"/>
        <v>9</v>
      </c>
      <c r="C113" s="11">
        <f>C112*(1+VLOOKUP(C$6,Data!$A$3:$G$8,6,0))^(1/12)</f>
        <v>5404.6067906881481</v>
      </c>
      <c r="D113" s="59">
        <f>C113*VLOOKUP(C$6,Data!$A$4:$G$8,3,FALSE)</f>
        <v>2702.303395344074</v>
      </c>
      <c r="E113" s="37">
        <f>VLOOKUP(C$6,Data!$A$3:$G$8,5,FALSE)+IF($B113=refund_inc_year,refund_inc,0)</f>
        <v>7.0000000000000007E-2</v>
      </c>
      <c r="F113" s="58">
        <f t="shared" si="21"/>
        <v>378.32247534817043</v>
      </c>
      <c r="G113" s="75">
        <f>F113*VLOOKUP(C$6,Data!$A$4:$G$8,2,FALSE)</f>
        <v>1891.6123767408521</v>
      </c>
      <c r="H113" s="75">
        <f t="shared" si="22"/>
        <v>810.69101860322189</v>
      </c>
      <c r="I113" s="11">
        <f>I112*(1+VLOOKUP(I$6,Data!$A$3:$G$8,6,0))^(1/12)</f>
        <v>9867.6836277246439</v>
      </c>
      <c r="J113" s="59">
        <f>I113*VLOOKUP(I$6,Data!$A$4:$G$8,3,FALSE)</f>
        <v>2960.3050883173933</v>
      </c>
      <c r="K113" s="37">
        <f>VLOOKUP(I$6,Data!$A$3:$G$8,5,FALSE)+IF($B113=refund_inc_year,refund_inc,0)</f>
        <v>0.06</v>
      </c>
      <c r="L113" s="58">
        <f t="shared" si="23"/>
        <v>592.06101766347865</v>
      </c>
      <c r="M113" s="75">
        <f>L113*VLOOKUP(I$6,Data!$A$4:$G$8,2,FALSE)</f>
        <v>3552.3661059808719</v>
      </c>
      <c r="N113" s="75">
        <f t="shared" si="24"/>
        <v>-592.06101766347865</v>
      </c>
      <c r="O113" s="11">
        <f>O112*(1+VLOOKUP(O$6,Data!$A$3:$G$8,6,0))^(1/12)</f>
        <v>11777.748596410464</v>
      </c>
      <c r="P113" s="59">
        <f>O113*VLOOKUP(O$6,Data!$A$4:$G$8,3,FALSE)</f>
        <v>11777.748596410464</v>
      </c>
      <c r="Q113" s="37">
        <f>VLOOKUP(O$6,Data!$A$3:$G$8,5,FALSE)+IF($B113=refund_inc_year,refund_inc,0)</f>
        <v>0.05</v>
      </c>
      <c r="R113" s="58">
        <f t="shared" si="25"/>
        <v>588.88742982052315</v>
      </c>
      <c r="S113" s="75">
        <f>R113*VLOOKUP(O$6,Data!$A$4:$G$8,2,FALSE)</f>
        <v>4416.6557236539238</v>
      </c>
      <c r="T113" s="75">
        <f t="shared" si="26"/>
        <v>7361.0928727565397</v>
      </c>
      <c r="U113" s="11">
        <f>U112*(1+VLOOKUP(U$6,Data!$A$3:$G$8,6,0))^(1/12)</f>
        <v>12610.749178272355</v>
      </c>
      <c r="V113" s="59">
        <f>U113*VLOOKUP(U$6,Data!$A$4:$G$8,3,FALSE)</f>
        <v>31526.872945680887</v>
      </c>
      <c r="W113" s="37">
        <f>VLOOKUP(U$6,Data!$A$3:$G$8,5,FALSE)+IF($B113=refund_inc_year,refund_inc,0)</f>
        <v>7.0000000000000007E-2</v>
      </c>
      <c r="X113" s="58">
        <f t="shared" si="27"/>
        <v>882.75244247906494</v>
      </c>
      <c r="Y113" s="75">
        <f>X113*VLOOKUP(U$6,Data!$A$4:$G$8,2,FALSE)</f>
        <v>7503.3957610720518</v>
      </c>
      <c r="Z113" s="75">
        <f t="shared" si="28"/>
        <v>24023.477184608833</v>
      </c>
      <c r="AA113" s="11">
        <f>AA112*(1+VLOOKUP(AA$6,Data!$A$3:$G$8,6,0))^(1/12)</f>
        <v>12881.617645836326</v>
      </c>
      <c r="AB113" s="59">
        <f>AA113*VLOOKUP(AA$6,Data!$A$4:$G$8,3,FALSE)</f>
        <v>35424.448526049899</v>
      </c>
      <c r="AC113" s="37">
        <f>VLOOKUP(AA$6,Data!$A$3:$G$8,5,FALSE)+IF($B113=refund_inc_year,refund_inc,0)</f>
        <v>0.08</v>
      </c>
      <c r="AD113" s="58">
        <f t="shared" si="29"/>
        <v>1030.5294116669061</v>
      </c>
      <c r="AE113" s="75">
        <f>AD113*VLOOKUP(AA$6,Data!$A$4:$G$8,2,FALSE)</f>
        <v>10305.294116669062</v>
      </c>
      <c r="AF113" s="75">
        <f t="shared" si="30"/>
        <v>25119.154409380837</v>
      </c>
      <c r="AG113" s="61">
        <f t="shared" si="31"/>
        <v>56722.354467685953</v>
      </c>
      <c r="AH113" s="60">
        <f>'Combined Admin'!D112</f>
        <v>17500</v>
      </c>
      <c r="AI113" s="60">
        <f t="shared" si="34"/>
        <v>0</v>
      </c>
      <c r="AJ113" s="60">
        <f t="shared" si="32"/>
        <v>17500</v>
      </c>
      <c r="AK113" s="60">
        <f t="shared" si="33"/>
        <v>39222.354467685953</v>
      </c>
      <c r="AL113" s="62">
        <f t="shared" si="35"/>
        <v>574024.22711639048</v>
      </c>
    </row>
    <row r="114" spans="1:38" x14ac:dyDescent="0.25">
      <c r="A114" s="2">
        <v>107</v>
      </c>
      <c r="B114" s="36">
        <f t="shared" si="20"/>
        <v>9</v>
      </c>
      <c r="C114" s="11">
        <f>C113*(1+VLOOKUP(C$6,Data!$A$3:$G$8,6,0))^(1/12)</f>
        <v>5413.5329382078799</v>
      </c>
      <c r="D114" s="59">
        <f>C114*VLOOKUP(C$6,Data!$A$4:$G$8,3,FALSE)</f>
        <v>2706.7664691039399</v>
      </c>
      <c r="E114" s="37">
        <f>VLOOKUP(C$6,Data!$A$3:$G$8,5,FALSE)+IF($B114=refund_inc_year,refund_inc,0)</f>
        <v>7.0000000000000007E-2</v>
      </c>
      <c r="F114" s="58">
        <f t="shared" si="21"/>
        <v>378.94730567455161</v>
      </c>
      <c r="G114" s="75">
        <f>F114*VLOOKUP(C$6,Data!$A$4:$G$8,2,FALSE)</f>
        <v>1894.7365283727581</v>
      </c>
      <c r="H114" s="75">
        <f t="shared" si="22"/>
        <v>812.0299407311818</v>
      </c>
      <c r="I114" s="11">
        <f>I113*(1+VLOOKUP(I$6,Data!$A$3:$G$8,6,0))^(1/12)</f>
        <v>9875.8692473941519</v>
      </c>
      <c r="J114" s="59">
        <f>I114*VLOOKUP(I$6,Data!$A$4:$G$8,3,FALSE)</f>
        <v>2962.7607742182454</v>
      </c>
      <c r="K114" s="37">
        <f>VLOOKUP(I$6,Data!$A$3:$G$8,5,FALSE)+IF($B114=refund_inc_year,refund_inc,0)</f>
        <v>0.06</v>
      </c>
      <c r="L114" s="58">
        <f t="shared" si="23"/>
        <v>592.55215484364908</v>
      </c>
      <c r="M114" s="75">
        <f>L114*VLOOKUP(I$6,Data!$A$4:$G$8,2,FALSE)</f>
        <v>3555.3129290618945</v>
      </c>
      <c r="N114" s="75">
        <f t="shared" si="24"/>
        <v>-592.55215484364908</v>
      </c>
      <c r="O114" s="11">
        <f>O113*(1+VLOOKUP(O$6,Data!$A$3:$G$8,6,0))^(1/12)</f>
        <v>11825.73260208493</v>
      </c>
      <c r="P114" s="59">
        <f>O114*VLOOKUP(O$6,Data!$A$4:$G$8,3,FALSE)</f>
        <v>11825.73260208493</v>
      </c>
      <c r="Q114" s="37">
        <f>VLOOKUP(O$6,Data!$A$3:$G$8,5,FALSE)+IF($B114=refund_inc_year,refund_inc,0)</f>
        <v>0.05</v>
      </c>
      <c r="R114" s="58">
        <f t="shared" si="25"/>
        <v>591.28663010424657</v>
      </c>
      <c r="S114" s="75">
        <f>R114*VLOOKUP(O$6,Data!$A$4:$G$8,2,FALSE)</f>
        <v>4434.6497257818492</v>
      </c>
      <c r="T114" s="75">
        <f t="shared" si="26"/>
        <v>7391.0828763030813</v>
      </c>
      <c r="U114" s="11">
        <f>U113*(1+VLOOKUP(U$6,Data!$A$3:$G$8,6,0))^(1/12)</f>
        <v>12631.576855818395</v>
      </c>
      <c r="V114" s="59">
        <f>U114*VLOOKUP(U$6,Data!$A$4:$G$8,3,FALSE)</f>
        <v>31578.942139545987</v>
      </c>
      <c r="W114" s="37">
        <f>VLOOKUP(U$6,Data!$A$3:$G$8,5,FALSE)+IF($B114=refund_inc_year,refund_inc,0)</f>
        <v>7.0000000000000007E-2</v>
      </c>
      <c r="X114" s="58">
        <f t="shared" si="27"/>
        <v>884.2103799072878</v>
      </c>
      <c r="Y114" s="75">
        <f>X114*VLOOKUP(U$6,Data!$A$4:$G$8,2,FALSE)</f>
        <v>7515.7882292119466</v>
      </c>
      <c r="Z114" s="75">
        <f t="shared" si="28"/>
        <v>24063.15391033404</v>
      </c>
      <c r="AA114" s="11">
        <f>AA113*(1+VLOOKUP(AA$6,Data!$A$3:$G$8,6,0))^(1/12)</f>
        <v>12913.387190054626</v>
      </c>
      <c r="AB114" s="59">
        <f>AA114*VLOOKUP(AA$6,Data!$A$4:$G$8,3,FALSE)</f>
        <v>35511.814772650221</v>
      </c>
      <c r="AC114" s="37">
        <f>VLOOKUP(AA$6,Data!$A$3:$G$8,5,FALSE)+IF($B114=refund_inc_year,refund_inc,0)</f>
        <v>0.08</v>
      </c>
      <c r="AD114" s="58">
        <f t="shared" si="29"/>
        <v>1033.0709752043701</v>
      </c>
      <c r="AE114" s="75">
        <f>AD114*VLOOKUP(AA$6,Data!$A$4:$G$8,2,FALSE)</f>
        <v>10330.709752043702</v>
      </c>
      <c r="AF114" s="75">
        <f t="shared" si="30"/>
        <v>25181.105020606519</v>
      </c>
      <c r="AG114" s="61">
        <f t="shared" si="31"/>
        <v>56854.819593131171</v>
      </c>
      <c r="AH114" s="60">
        <f>'Combined Admin'!D113</f>
        <v>17500</v>
      </c>
      <c r="AI114" s="60">
        <f t="shared" si="34"/>
        <v>0</v>
      </c>
      <c r="AJ114" s="60">
        <f t="shared" si="32"/>
        <v>17500</v>
      </c>
      <c r="AK114" s="60">
        <f t="shared" si="33"/>
        <v>39354.819593131171</v>
      </c>
      <c r="AL114" s="62">
        <f t="shared" si="35"/>
        <v>538271.80261960474</v>
      </c>
    </row>
    <row r="115" spans="1:38" x14ac:dyDescent="0.25">
      <c r="A115" s="2">
        <v>108</v>
      </c>
      <c r="B115" s="36">
        <f t="shared" si="20"/>
        <v>9</v>
      </c>
      <c r="C115" s="11">
        <f>C114*(1+VLOOKUP(C$6,Data!$A$3:$G$8,6,0))^(1/12)</f>
        <v>5422.473827985953</v>
      </c>
      <c r="D115" s="59">
        <f>C115*VLOOKUP(C$6,Data!$A$4:$G$8,3,FALSE)</f>
        <v>2711.2369139929765</v>
      </c>
      <c r="E115" s="37">
        <f>VLOOKUP(C$6,Data!$A$3:$G$8,5,FALSE)+IF($B115=refund_inc_year,refund_inc,0)</f>
        <v>7.0000000000000007E-2</v>
      </c>
      <c r="F115" s="58">
        <f t="shared" si="21"/>
        <v>379.57316795901676</v>
      </c>
      <c r="G115" s="75">
        <f>F115*VLOOKUP(C$6,Data!$A$4:$G$8,2,FALSE)</f>
        <v>1897.8658397950837</v>
      </c>
      <c r="H115" s="75">
        <f t="shared" si="22"/>
        <v>813.37107419789277</v>
      </c>
      <c r="I115" s="11">
        <f>I114*(1+VLOOKUP(I$6,Data!$A$3:$G$8,6,0))^(1/12)</f>
        <v>9884.0616573471652</v>
      </c>
      <c r="J115" s="59">
        <f>I115*VLOOKUP(I$6,Data!$A$4:$G$8,3,FALSE)</f>
        <v>2965.2184972041496</v>
      </c>
      <c r="K115" s="37">
        <f>VLOOKUP(I$6,Data!$A$3:$G$8,5,FALSE)+IF($B115=refund_inc_year,refund_inc,0)</f>
        <v>0.06</v>
      </c>
      <c r="L115" s="58">
        <f t="shared" si="23"/>
        <v>593.04369944082987</v>
      </c>
      <c r="M115" s="75">
        <f>L115*VLOOKUP(I$6,Data!$A$4:$G$8,2,FALSE)</f>
        <v>3558.2621966449792</v>
      </c>
      <c r="N115" s="75">
        <f t="shared" si="24"/>
        <v>-593.04369944082964</v>
      </c>
      <c r="O115" s="11">
        <f>O114*(1+VLOOKUP(O$6,Data!$A$3:$G$8,6,0))^(1/12)</f>
        <v>11873.912100538151</v>
      </c>
      <c r="P115" s="59">
        <f>O115*VLOOKUP(O$6,Data!$A$4:$G$8,3,FALSE)</f>
        <v>11873.912100538151</v>
      </c>
      <c r="Q115" s="37">
        <f>VLOOKUP(O$6,Data!$A$3:$G$8,5,FALSE)+IF($B115=refund_inc_year,refund_inc,0)</f>
        <v>0.05</v>
      </c>
      <c r="R115" s="58">
        <f t="shared" si="25"/>
        <v>593.69560502690763</v>
      </c>
      <c r="S115" s="75">
        <f>R115*VLOOKUP(O$6,Data!$A$4:$G$8,2,FALSE)</f>
        <v>4452.7170377018074</v>
      </c>
      <c r="T115" s="75">
        <f t="shared" si="26"/>
        <v>7421.1950628363438</v>
      </c>
      <c r="U115" s="11">
        <f>U114*(1+VLOOKUP(U$6,Data!$A$3:$G$8,6,0))^(1/12)</f>
        <v>12652.438931967234</v>
      </c>
      <c r="V115" s="59">
        <f>U115*VLOOKUP(U$6,Data!$A$4:$G$8,3,FALSE)</f>
        <v>31631.097329918084</v>
      </c>
      <c r="W115" s="37">
        <f>VLOOKUP(U$6,Data!$A$3:$G$8,5,FALSE)+IF($B115=refund_inc_year,refund_inc,0)</f>
        <v>7.0000000000000007E-2</v>
      </c>
      <c r="X115" s="58">
        <f t="shared" si="27"/>
        <v>885.67072523770639</v>
      </c>
      <c r="Y115" s="75">
        <f>X115*VLOOKUP(U$6,Data!$A$4:$G$8,2,FALSE)</f>
        <v>7528.2011645205039</v>
      </c>
      <c r="Z115" s="75">
        <f t="shared" si="28"/>
        <v>24102.896165397578</v>
      </c>
      <c r="AA115" s="11">
        <f>AA114*(1+VLOOKUP(AA$6,Data!$A$3:$G$8,6,0))^(1/12)</f>
        <v>12945.235086539511</v>
      </c>
      <c r="AB115" s="59">
        <f>AA115*VLOOKUP(AA$6,Data!$A$4:$G$8,3,FALSE)</f>
        <v>35599.396487983657</v>
      </c>
      <c r="AC115" s="37">
        <f>VLOOKUP(AA$6,Data!$A$3:$G$8,5,FALSE)+IF($B115=refund_inc_year,refund_inc,0)</f>
        <v>0.08</v>
      </c>
      <c r="AD115" s="58">
        <f t="shared" si="29"/>
        <v>1035.6188069231609</v>
      </c>
      <c r="AE115" s="75">
        <f>AD115*VLOOKUP(AA$6,Data!$A$4:$G$8,2,FALSE)</f>
        <v>10356.18806923161</v>
      </c>
      <c r="AF115" s="75">
        <f t="shared" si="30"/>
        <v>25243.208418752045</v>
      </c>
      <c r="AG115" s="61">
        <f t="shared" si="31"/>
        <v>56987.627021743028</v>
      </c>
      <c r="AH115" s="60">
        <f>'Combined Admin'!D114</f>
        <v>17500</v>
      </c>
      <c r="AI115" s="60">
        <f t="shared" si="34"/>
        <v>0</v>
      </c>
      <c r="AJ115" s="60">
        <f t="shared" si="32"/>
        <v>17500</v>
      </c>
      <c r="AK115" s="60">
        <f t="shared" si="33"/>
        <v>39487.627021743028</v>
      </c>
      <c r="AL115" s="62">
        <f t="shared" si="35"/>
        <v>502170.79248636862</v>
      </c>
    </row>
    <row r="116" spans="1:38" x14ac:dyDescent="0.25">
      <c r="A116" s="2">
        <v>109</v>
      </c>
      <c r="B116" s="36">
        <f t="shared" si="20"/>
        <v>10</v>
      </c>
      <c r="C116" s="11">
        <f>C115*(1+VLOOKUP(C$6,Data!$A$3:$G$8,6,0))^(1/12)</f>
        <v>5431.4294843704065</v>
      </c>
      <c r="D116" s="59">
        <f>C116*VLOOKUP(C$6,Data!$A$4:$G$8,3,FALSE)</f>
        <v>2715.7147421852032</v>
      </c>
      <c r="E116" s="37">
        <f>VLOOKUP(C$6,Data!$A$3:$G$8,5,FALSE)+IF($B116=refund_inc_year,refund_inc,0)</f>
        <v>7.0000000000000007E-2</v>
      </c>
      <c r="F116" s="58">
        <f t="shared" si="21"/>
        <v>380.20006390592852</v>
      </c>
      <c r="G116" s="75">
        <f>F116*VLOOKUP(C$6,Data!$A$4:$G$8,2,FALSE)</f>
        <v>1901.0003195296426</v>
      </c>
      <c r="H116" s="75">
        <f t="shared" si="22"/>
        <v>814.71442265556061</v>
      </c>
      <c r="I116" s="11">
        <f>I115*(1+VLOOKUP(I$6,Data!$A$3:$G$8,6,0))^(1/12)</f>
        <v>9892.2608632164829</v>
      </c>
      <c r="J116" s="59">
        <f>I116*VLOOKUP(I$6,Data!$A$4:$G$8,3,FALSE)</f>
        <v>2967.6782589649447</v>
      </c>
      <c r="K116" s="37">
        <f>VLOOKUP(I$6,Data!$A$3:$G$8,5,FALSE)+IF($B116=refund_inc_year,refund_inc,0)</f>
        <v>0.06</v>
      </c>
      <c r="L116" s="58">
        <f t="shared" si="23"/>
        <v>593.53565179298892</v>
      </c>
      <c r="M116" s="75">
        <f>L116*VLOOKUP(I$6,Data!$A$4:$G$8,2,FALSE)</f>
        <v>3561.2139107579333</v>
      </c>
      <c r="N116" s="75">
        <f t="shared" si="24"/>
        <v>-593.53565179298857</v>
      </c>
      <c r="O116" s="11">
        <f>O115*(1+VLOOKUP(O$6,Data!$A$3:$G$8,6,0))^(1/12)</f>
        <v>11922.287888231904</v>
      </c>
      <c r="P116" s="59">
        <f>O116*VLOOKUP(O$6,Data!$A$4:$G$8,3,FALSE)</f>
        <v>11922.287888231904</v>
      </c>
      <c r="Q116" s="37">
        <f>VLOOKUP(O$6,Data!$A$3:$G$8,5,FALSE)+IF($B116=refund_inc_year,refund_inc,0)</f>
        <v>0.05</v>
      </c>
      <c r="R116" s="58">
        <f t="shared" si="25"/>
        <v>596.11439441159519</v>
      </c>
      <c r="S116" s="75">
        <f>R116*VLOOKUP(O$6,Data!$A$4:$G$8,2,FALSE)</f>
        <v>4470.8579580869637</v>
      </c>
      <c r="T116" s="75">
        <f t="shared" si="26"/>
        <v>7451.42993014494</v>
      </c>
      <c r="U116" s="11">
        <f>U115*(1+VLOOKUP(U$6,Data!$A$3:$G$8,6,0))^(1/12)</f>
        <v>12673.335463530959</v>
      </c>
      <c r="V116" s="59">
        <f>U116*VLOOKUP(U$6,Data!$A$4:$G$8,3,FALSE)</f>
        <v>31683.338658827397</v>
      </c>
      <c r="W116" s="37">
        <f>VLOOKUP(U$6,Data!$A$3:$G$8,5,FALSE)+IF($B116=refund_inc_year,refund_inc,0)</f>
        <v>7.0000000000000007E-2</v>
      </c>
      <c r="X116" s="58">
        <f t="shared" si="27"/>
        <v>887.13348244716724</v>
      </c>
      <c r="Y116" s="75">
        <f>X116*VLOOKUP(U$6,Data!$A$4:$G$8,2,FALSE)</f>
        <v>7540.6346008009214</v>
      </c>
      <c r="Z116" s="75">
        <f t="shared" si="28"/>
        <v>24142.704058026477</v>
      </c>
      <c r="AA116" s="11">
        <f>AA115*(1+VLOOKUP(AA$6,Data!$A$3:$G$8,6,0))^(1/12)</f>
        <v>12977.161528528808</v>
      </c>
      <c r="AB116" s="59">
        <f>AA116*VLOOKUP(AA$6,Data!$A$4:$G$8,3,FALSE)</f>
        <v>35687.194203454223</v>
      </c>
      <c r="AC116" s="37">
        <f>VLOOKUP(AA$6,Data!$A$3:$G$8,5,FALSE)+IF($B116=refund_inc_year,refund_inc,0)</f>
        <v>0.08</v>
      </c>
      <c r="AD116" s="58">
        <f t="shared" si="29"/>
        <v>1038.1729222823046</v>
      </c>
      <c r="AE116" s="75">
        <f>AD116*VLOOKUP(AA$6,Data!$A$4:$G$8,2,FALSE)</f>
        <v>10381.729222823047</v>
      </c>
      <c r="AF116" s="75">
        <f t="shared" si="30"/>
        <v>25305.464980631175</v>
      </c>
      <c r="AG116" s="61">
        <f t="shared" si="31"/>
        <v>57120.777739665165</v>
      </c>
      <c r="AH116" s="60">
        <f>'Combined Admin'!D115</f>
        <v>17500</v>
      </c>
      <c r="AI116" s="60">
        <f t="shared" si="34"/>
        <v>0</v>
      </c>
      <c r="AJ116" s="60">
        <f t="shared" si="32"/>
        <v>17500</v>
      </c>
      <c r="AK116" s="60">
        <f t="shared" si="33"/>
        <v>39620.777739665165</v>
      </c>
      <c r="AL116" s="62">
        <f t="shared" si="35"/>
        <v>465718.74724157009</v>
      </c>
    </row>
    <row r="117" spans="1:38" x14ac:dyDescent="0.25">
      <c r="A117" s="2">
        <v>110</v>
      </c>
      <c r="B117" s="36">
        <f t="shared" si="20"/>
        <v>10</v>
      </c>
      <c r="C117" s="11">
        <f>C116*(1+VLOOKUP(C$6,Data!$A$3:$G$8,6,0))^(1/12)</f>
        <v>5440.3999317494909</v>
      </c>
      <c r="D117" s="59">
        <f>C117*VLOOKUP(C$6,Data!$A$4:$G$8,3,FALSE)</f>
        <v>2720.1999658747454</v>
      </c>
      <c r="E117" s="37">
        <f>VLOOKUP(C$6,Data!$A$3:$G$8,5,FALSE)+IF($B117=refund_inc_year,refund_inc,0)</f>
        <v>7.0000000000000007E-2</v>
      </c>
      <c r="F117" s="58">
        <f t="shared" si="21"/>
        <v>380.82799522246438</v>
      </c>
      <c r="G117" s="75">
        <f>F117*VLOOKUP(C$6,Data!$A$4:$G$8,2,FALSE)</f>
        <v>1904.1399761123218</v>
      </c>
      <c r="H117" s="75">
        <f t="shared" si="22"/>
        <v>816.05998976242358</v>
      </c>
      <c r="I117" s="11">
        <f>I116*(1+VLOOKUP(I$6,Data!$A$3:$G$8,6,0))^(1/12)</f>
        <v>9900.4668706395751</v>
      </c>
      <c r="J117" s="59">
        <f>I117*VLOOKUP(I$6,Data!$A$4:$G$8,3,FALSE)</f>
        <v>2970.1400611918725</v>
      </c>
      <c r="K117" s="37">
        <f>VLOOKUP(I$6,Data!$A$3:$G$8,5,FALSE)+IF($B117=refund_inc_year,refund_inc,0)</f>
        <v>0.06</v>
      </c>
      <c r="L117" s="58">
        <f t="shared" si="23"/>
        <v>594.02801223837446</v>
      </c>
      <c r="M117" s="75">
        <f>L117*VLOOKUP(I$6,Data!$A$4:$G$8,2,FALSE)</f>
        <v>3564.1680734302467</v>
      </c>
      <c r="N117" s="75">
        <f t="shared" si="24"/>
        <v>-594.02801223837423</v>
      </c>
      <c r="O117" s="11">
        <f>O116*(1+VLOOKUP(O$6,Data!$A$3:$G$8,6,0))^(1/12)</f>
        <v>11970.860764872852</v>
      </c>
      <c r="P117" s="59">
        <f>O117*VLOOKUP(O$6,Data!$A$4:$G$8,3,FALSE)</f>
        <v>11970.860764872852</v>
      </c>
      <c r="Q117" s="37">
        <f>VLOOKUP(O$6,Data!$A$3:$G$8,5,FALSE)+IF($B117=refund_inc_year,refund_inc,0)</f>
        <v>0.05</v>
      </c>
      <c r="R117" s="58">
        <f t="shared" si="25"/>
        <v>598.54303824364263</v>
      </c>
      <c r="S117" s="75">
        <f>R117*VLOOKUP(O$6,Data!$A$4:$G$8,2,FALSE)</f>
        <v>4489.0727868273198</v>
      </c>
      <c r="T117" s="75">
        <f t="shared" si="26"/>
        <v>7481.7879780455323</v>
      </c>
      <c r="U117" s="11">
        <f>U116*(1+VLOOKUP(U$6,Data!$A$3:$G$8,6,0))^(1/12)</f>
        <v>12694.266507415488</v>
      </c>
      <c r="V117" s="59">
        <f>U117*VLOOKUP(U$6,Data!$A$4:$G$8,3,FALSE)</f>
        <v>31735.66626853872</v>
      </c>
      <c r="W117" s="37">
        <f>VLOOKUP(U$6,Data!$A$3:$G$8,5,FALSE)+IF($B117=refund_inc_year,refund_inc,0)</f>
        <v>7.0000000000000007E-2</v>
      </c>
      <c r="X117" s="58">
        <f t="shared" si="27"/>
        <v>888.59865551908422</v>
      </c>
      <c r="Y117" s="75">
        <f>X117*VLOOKUP(U$6,Data!$A$4:$G$8,2,FALSE)</f>
        <v>7553.0885719122161</v>
      </c>
      <c r="Z117" s="75">
        <f t="shared" si="28"/>
        <v>24182.577696626504</v>
      </c>
      <c r="AA117" s="11">
        <f>AA116*(1+VLOOKUP(AA$6,Data!$A$3:$G$8,6,0))^(1/12)</f>
        <v>13009.166709736921</v>
      </c>
      <c r="AB117" s="59">
        <f>AA117*VLOOKUP(AA$6,Data!$A$4:$G$8,3,FALSE)</f>
        <v>35775.208451776532</v>
      </c>
      <c r="AC117" s="37">
        <f>VLOOKUP(AA$6,Data!$A$3:$G$8,5,FALSE)+IF($B117=refund_inc_year,refund_inc,0)</f>
        <v>0.08</v>
      </c>
      <c r="AD117" s="58">
        <f t="shared" si="29"/>
        <v>1040.7333367789538</v>
      </c>
      <c r="AE117" s="75">
        <f>AD117*VLOOKUP(AA$6,Data!$A$4:$G$8,2,FALSE)</f>
        <v>10407.333367789539</v>
      </c>
      <c r="AF117" s="75">
        <f t="shared" si="30"/>
        <v>25367.875083986994</v>
      </c>
      <c r="AG117" s="61">
        <f t="shared" si="31"/>
        <v>57254.272736183077</v>
      </c>
      <c r="AH117" s="60">
        <f>'Combined Admin'!D116</f>
        <v>17500</v>
      </c>
      <c r="AI117" s="60">
        <f t="shared" si="34"/>
        <v>0</v>
      </c>
      <c r="AJ117" s="60">
        <f t="shared" si="32"/>
        <v>17500</v>
      </c>
      <c r="AK117" s="60">
        <f t="shared" si="33"/>
        <v>39754.272736183077</v>
      </c>
      <c r="AL117" s="62">
        <f t="shared" si="35"/>
        <v>428913.20161707478</v>
      </c>
    </row>
    <row r="118" spans="1:38" x14ac:dyDescent="0.25">
      <c r="A118" s="2">
        <v>111</v>
      </c>
      <c r="B118" s="36">
        <f t="shared" si="20"/>
        <v>10</v>
      </c>
      <c r="C118" s="11">
        <f>C117*(1+VLOOKUP(C$6,Data!$A$3:$G$8,6,0))^(1/12)</f>
        <v>5449.3851945517363</v>
      </c>
      <c r="D118" s="59">
        <f>C118*VLOOKUP(C$6,Data!$A$4:$G$8,3,FALSE)</f>
        <v>2724.6925972758681</v>
      </c>
      <c r="E118" s="37">
        <f>VLOOKUP(C$6,Data!$A$3:$G$8,5,FALSE)+IF($B118=refund_inc_year,refund_inc,0)</f>
        <v>7.0000000000000007E-2</v>
      </c>
      <c r="F118" s="58">
        <f t="shared" si="21"/>
        <v>381.45696361862156</v>
      </c>
      <c r="G118" s="75">
        <f>F118*VLOOKUP(C$6,Data!$A$4:$G$8,2,FALSE)</f>
        <v>1907.2848180931078</v>
      </c>
      <c r="H118" s="75">
        <f t="shared" si="22"/>
        <v>817.40777918276035</v>
      </c>
      <c r="I118" s="11">
        <f>I117*(1+VLOOKUP(I$6,Data!$A$3:$G$8,6,0))^(1/12)</f>
        <v>9908.6796852585921</v>
      </c>
      <c r="J118" s="59">
        <f>I118*VLOOKUP(I$6,Data!$A$4:$G$8,3,FALSE)</f>
        <v>2972.6039055775777</v>
      </c>
      <c r="K118" s="37">
        <f>VLOOKUP(I$6,Data!$A$3:$G$8,5,FALSE)+IF($B118=refund_inc_year,refund_inc,0)</f>
        <v>0.06</v>
      </c>
      <c r="L118" s="58">
        <f t="shared" si="23"/>
        <v>594.52078111551555</v>
      </c>
      <c r="M118" s="75">
        <f>L118*VLOOKUP(I$6,Data!$A$4:$G$8,2,FALSE)</f>
        <v>3567.1246866930933</v>
      </c>
      <c r="N118" s="75">
        <f t="shared" si="24"/>
        <v>-594.52078111551555</v>
      </c>
      <c r="O118" s="11">
        <f>O117*(1+VLOOKUP(O$6,Data!$A$3:$G$8,6,0))^(1/12)</f>
        <v>12019.631533425763</v>
      </c>
      <c r="P118" s="59">
        <f>O118*VLOOKUP(O$6,Data!$A$4:$G$8,3,FALSE)</f>
        <v>12019.631533425763</v>
      </c>
      <c r="Q118" s="37">
        <f>VLOOKUP(O$6,Data!$A$3:$G$8,5,FALSE)+IF($B118=refund_inc_year,refund_inc,0)</f>
        <v>0.05</v>
      </c>
      <c r="R118" s="58">
        <f t="shared" si="25"/>
        <v>600.98157667128817</v>
      </c>
      <c r="S118" s="75">
        <f>R118*VLOOKUP(O$6,Data!$A$4:$G$8,2,FALSE)</f>
        <v>4507.3618250346608</v>
      </c>
      <c r="T118" s="75">
        <f t="shared" si="26"/>
        <v>7512.2697083911025</v>
      </c>
      <c r="U118" s="11">
        <f>U117*(1+VLOOKUP(U$6,Data!$A$3:$G$8,6,0))^(1/12)</f>
        <v>12715.232120620727</v>
      </c>
      <c r="V118" s="59">
        <f>U118*VLOOKUP(U$6,Data!$A$4:$G$8,3,FALSE)</f>
        <v>31788.080301551818</v>
      </c>
      <c r="W118" s="37">
        <f>VLOOKUP(U$6,Data!$A$3:$G$8,5,FALSE)+IF($B118=refund_inc_year,refund_inc,0)</f>
        <v>7.0000000000000007E-2</v>
      </c>
      <c r="X118" s="58">
        <f t="shared" si="27"/>
        <v>890.06624844345095</v>
      </c>
      <c r="Y118" s="75">
        <f>X118*VLOOKUP(U$6,Data!$A$4:$G$8,2,FALSE)</f>
        <v>7565.5631117693329</v>
      </c>
      <c r="Z118" s="75">
        <f t="shared" si="28"/>
        <v>24222.517189782484</v>
      </c>
      <c r="AA118" s="11">
        <f>AA117*(1+VLOOKUP(AA$6,Data!$A$3:$G$8,6,0))^(1/12)</f>
        <v>13041.250824356004</v>
      </c>
      <c r="AB118" s="59">
        <f>AA118*VLOOKUP(AA$6,Data!$A$4:$G$8,3,FALSE)</f>
        <v>35863.439766979012</v>
      </c>
      <c r="AC118" s="37">
        <f>VLOOKUP(AA$6,Data!$A$3:$G$8,5,FALSE)+IF($B118=refund_inc_year,refund_inc,0)</f>
        <v>0.08</v>
      </c>
      <c r="AD118" s="58">
        <f t="shared" si="29"/>
        <v>1043.3000659484803</v>
      </c>
      <c r="AE118" s="75">
        <f>AD118*VLOOKUP(AA$6,Data!$A$4:$G$8,2,FALSE)</f>
        <v>10433.000659484804</v>
      </c>
      <c r="AF118" s="75">
        <f t="shared" si="30"/>
        <v>25430.43910749421</v>
      </c>
      <c r="AG118" s="61">
        <f t="shared" si="31"/>
        <v>57388.113003735038</v>
      </c>
      <c r="AH118" s="60">
        <f>'Combined Admin'!D117</f>
        <v>17500</v>
      </c>
      <c r="AI118" s="60">
        <f t="shared" si="34"/>
        <v>0</v>
      </c>
      <c r="AJ118" s="60">
        <f t="shared" si="32"/>
        <v>17500</v>
      </c>
      <c r="AK118" s="60">
        <f t="shared" si="33"/>
        <v>39888.113003735038</v>
      </c>
      <c r="AL118" s="62">
        <f t="shared" si="35"/>
        <v>391751.6744531166</v>
      </c>
    </row>
    <row r="119" spans="1:38" x14ac:dyDescent="0.25">
      <c r="A119" s="2">
        <v>112</v>
      </c>
      <c r="B119" s="36">
        <f t="shared" si="20"/>
        <v>10</v>
      </c>
      <c r="C119" s="11">
        <f>C118*(1+VLOOKUP(C$6,Data!$A$3:$G$8,6,0))^(1/12)</f>
        <v>5458.385297246019</v>
      </c>
      <c r="D119" s="59">
        <f>C119*VLOOKUP(C$6,Data!$A$4:$G$8,3,FALSE)</f>
        <v>2729.1926486230095</v>
      </c>
      <c r="E119" s="37">
        <f>VLOOKUP(C$6,Data!$A$3:$G$8,5,FALSE)+IF($B119=refund_inc_year,refund_inc,0)</f>
        <v>7.0000000000000007E-2</v>
      </c>
      <c r="F119" s="58">
        <f t="shared" si="21"/>
        <v>382.08697080722135</v>
      </c>
      <c r="G119" s="75">
        <f>F119*VLOOKUP(C$6,Data!$A$4:$G$8,2,FALSE)</f>
        <v>1910.4348540361068</v>
      </c>
      <c r="H119" s="75">
        <f t="shared" si="22"/>
        <v>818.75779458690272</v>
      </c>
      <c r="I119" s="11">
        <f>I118*(1+VLOOKUP(I$6,Data!$A$3:$G$8,6,0))^(1/12)</f>
        <v>9916.8993127203612</v>
      </c>
      <c r="J119" s="59">
        <f>I119*VLOOKUP(I$6,Data!$A$4:$G$8,3,FALSE)</f>
        <v>2975.0697938161084</v>
      </c>
      <c r="K119" s="37">
        <f>VLOOKUP(I$6,Data!$A$3:$G$8,5,FALSE)+IF($B119=refund_inc_year,refund_inc,0)</f>
        <v>0.06</v>
      </c>
      <c r="L119" s="58">
        <f t="shared" si="23"/>
        <v>595.01395876322169</v>
      </c>
      <c r="M119" s="75">
        <f>L119*VLOOKUP(I$6,Data!$A$4:$G$8,2,FALSE)</f>
        <v>3570.0837525793304</v>
      </c>
      <c r="N119" s="75">
        <f t="shared" si="24"/>
        <v>-595.01395876322204</v>
      </c>
      <c r="O119" s="11">
        <f>O118*(1+VLOOKUP(O$6,Data!$A$3:$G$8,6,0))^(1/12)</f>
        <v>12068.601000126782</v>
      </c>
      <c r="P119" s="59">
        <f>O119*VLOOKUP(O$6,Data!$A$4:$G$8,3,FALSE)</f>
        <v>12068.601000126782</v>
      </c>
      <c r="Q119" s="37">
        <f>VLOOKUP(O$6,Data!$A$3:$G$8,5,FALSE)+IF($B119=refund_inc_year,refund_inc,0)</f>
        <v>0.05</v>
      </c>
      <c r="R119" s="58">
        <f t="shared" si="25"/>
        <v>603.43005000633912</v>
      </c>
      <c r="S119" s="75">
        <f>R119*VLOOKUP(O$6,Data!$A$4:$G$8,2,FALSE)</f>
        <v>4525.7253750475429</v>
      </c>
      <c r="T119" s="75">
        <f t="shared" si="26"/>
        <v>7542.8756250792394</v>
      </c>
      <c r="U119" s="11">
        <f>U118*(1+VLOOKUP(U$6,Data!$A$3:$G$8,6,0))^(1/12)</f>
        <v>12736.23236024072</v>
      </c>
      <c r="V119" s="59">
        <f>U119*VLOOKUP(U$6,Data!$A$4:$G$8,3,FALSE)</f>
        <v>31840.580900601799</v>
      </c>
      <c r="W119" s="37">
        <f>VLOOKUP(U$6,Data!$A$3:$G$8,5,FALSE)+IF($B119=refund_inc_year,refund_inc,0)</f>
        <v>7.0000000000000007E-2</v>
      </c>
      <c r="X119" s="58">
        <f t="shared" si="27"/>
        <v>891.53626521685044</v>
      </c>
      <c r="Y119" s="75">
        <f>X119*VLOOKUP(U$6,Data!$A$4:$G$8,2,FALSE)</f>
        <v>7578.0582543432283</v>
      </c>
      <c r="Z119" s="75">
        <f t="shared" si="28"/>
        <v>24262.522646258571</v>
      </c>
      <c r="AA119" s="11">
        <f>AA118*(1+VLOOKUP(AA$6,Data!$A$3:$G$8,6,0))^(1/12)</f>
        <v>13073.414067057143</v>
      </c>
      <c r="AB119" s="59">
        <f>AA119*VLOOKUP(AA$6,Data!$A$4:$G$8,3,FALSE)</f>
        <v>35951.888684407146</v>
      </c>
      <c r="AC119" s="37">
        <f>VLOOKUP(AA$6,Data!$A$3:$G$8,5,FALSE)+IF($B119=refund_inc_year,refund_inc,0)</f>
        <v>0.08</v>
      </c>
      <c r="AD119" s="58">
        <f t="shared" si="29"/>
        <v>1045.8731253645715</v>
      </c>
      <c r="AE119" s="75">
        <f>AD119*VLOOKUP(AA$6,Data!$A$4:$G$8,2,FALSE)</f>
        <v>10458.731253645714</v>
      </c>
      <c r="AF119" s="75">
        <f t="shared" si="30"/>
        <v>25493.157430761432</v>
      </c>
      <c r="AG119" s="61">
        <f t="shared" si="31"/>
        <v>57522.299537922925</v>
      </c>
      <c r="AH119" s="60">
        <f>'Combined Admin'!D118</f>
        <v>17500</v>
      </c>
      <c r="AI119" s="60">
        <f t="shared" si="34"/>
        <v>0</v>
      </c>
      <c r="AJ119" s="60">
        <f t="shared" si="32"/>
        <v>17500</v>
      </c>
      <c r="AK119" s="60">
        <f t="shared" si="33"/>
        <v>40022.299537922925</v>
      </c>
      <c r="AL119" s="62">
        <f t="shared" si="35"/>
        <v>354231.66859908134</v>
      </c>
    </row>
    <row r="120" spans="1:38" x14ac:dyDescent="0.25">
      <c r="A120" s="2">
        <v>113</v>
      </c>
      <c r="B120" s="36">
        <f t="shared" si="20"/>
        <v>10</v>
      </c>
      <c r="C120" s="11">
        <f>C119*(1+VLOOKUP(C$6,Data!$A$3:$G$8,6,0))^(1/12)</f>
        <v>5467.400264341627</v>
      </c>
      <c r="D120" s="59">
        <f>C120*VLOOKUP(C$6,Data!$A$4:$G$8,3,FALSE)</f>
        <v>2733.7001321708135</v>
      </c>
      <c r="E120" s="37">
        <f>VLOOKUP(C$6,Data!$A$3:$G$8,5,FALSE)+IF($B120=refund_inc_year,refund_inc,0)</f>
        <v>7.0000000000000007E-2</v>
      </c>
      <c r="F120" s="58">
        <f t="shared" si="21"/>
        <v>382.71801850391392</v>
      </c>
      <c r="G120" s="75">
        <f>F120*VLOOKUP(C$6,Data!$A$4:$G$8,2,FALSE)</f>
        <v>1913.5900925195697</v>
      </c>
      <c r="H120" s="75">
        <f t="shared" si="22"/>
        <v>820.11003965124382</v>
      </c>
      <c r="I120" s="11">
        <f>I119*(1+VLOOKUP(I$6,Data!$A$3:$G$8,6,0))^(1/12)</f>
        <v>9925.1257586763968</v>
      </c>
      <c r="J120" s="59">
        <f>I120*VLOOKUP(I$6,Data!$A$4:$G$8,3,FALSE)</f>
        <v>2977.5377276029189</v>
      </c>
      <c r="K120" s="37">
        <f>VLOOKUP(I$6,Data!$A$3:$G$8,5,FALSE)+IF($B120=refund_inc_year,refund_inc,0)</f>
        <v>0.06</v>
      </c>
      <c r="L120" s="58">
        <f t="shared" si="23"/>
        <v>595.50754552058379</v>
      </c>
      <c r="M120" s="75">
        <f>L120*VLOOKUP(I$6,Data!$A$4:$G$8,2,FALSE)</f>
        <v>3573.0452731235027</v>
      </c>
      <c r="N120" s="75">
        <f t="shared" si="24"/>
        <v>-595.50754552058379</v>
      </c>
      <c r="O120" s="11">
        <f>O119*(1+VLOOKUP(O$6,Data!$A$3:$G$8,6,0))^(1/12)</f>
        <v>12117.769974496761</v>
      </c>
      <c r="P120" s="59">
        <f>O120*VLOOKUP(O$6,Data!$A$4:$G$8,3,FALSE)</f>
        <v>12117.769974496761</v>
      </c>
      <c r="Q120" s="37">
        <f>VLOOKUP(O$6,Data!$A$3:$G$8,5,FALSE)+IF($B120=refund_inc_year,refund_inc,0)</f>
        <v>0.05</v>
      </c>
      <c r="R120" s="58">
        <f t="shared" si="25"/>
        <v>605.88849872483809</v>
      </c>
      <c r="S120" s="75">
        <f>R120*VLOOKUP(O$6,Data!$A$4:$G$8,2,FALSE)</f>
        <v>4544.1637404362855</v>
      </c>
      <c r="T120" s="75">
        <f t="shared" si="26"/>
        <v>7573.6062340604758</v>
      </c>
      <c r="U120" s="11">
        <f>U119*(1+VLOOKUP(U$6,Data!$A$3:$G$8,6,0))^(1/12)</f>
        <v>12757.267283463805</v>
      </c>
      <c r="V120" s="59">
        <f>U120*VLOOKUP(U$6,Data!$A$4:$G$8,3,FALSE)</f>
        <v>31893.168208659514</v>
      </c>
      <c r="W120" s="37">
        <f>VLOOKUP(U$6,Data!$A$3:$G$8,5,FALSE)+IF($B120=refund_inc_year,refund_inc,0)</f>
        <v>7.0000000000000007E-2</v>
      </c>
      <c r="X120" s="58">
        <f t="shared" si="27"/>
        <v>893.00870984246649</v>
      </c>
      <c r="Y120" s="75">
        <f>X120*VLOOKUP(U$6,Data!$A$4:$G$8,2,FALSE)</f>
        <v>7590.5740336609651</v>
      </c>
      <c r="Z120" s="75">
        <f t="shared" si="28"/>
        <v>24302.59417499855</v>
      </c>
      <c r="AA120" s="11">
        <f>AA119*(1+VLOOKUP(AA$6,Data!$A$3:$G$8,6,0))^(1/12)</f>
        <v>13105.656632991537</v>
      </c>
      <c r="AB120" s="59">
        <f>AA120*VLOOKUP(AA$6,Data!$A$4:$G$8,3,FALSE)</f>
        <v>36040.555740726726</v>
      </c>
      <c r="AC120" s="37">
        <f>VLOOKUP(AA$6,Data!$A$3:$G$8,5,FALSE)+IF($B120=refund_inc_year,refund_inc,0)</f>
        <v>0.08</v>
      </c>
      <c r="AD120" s="58">
        <f t="shared" si="29"/>
        <v>1048.452530639323</v>
      </c>
      <c r="AE120" s="75">
        <f>AD120*VLOOKUP(AA$6,Data!$A$4:$G$8,2,FALSE)</f>
        <v>10484.525306393229</v>
      </c>
      <c r="AF120" s="75">
        <f t="shared" si="30"/>
        <v>25556.030434333497</v>
      </c>
      <c r="AG120" s="61">
        <f t="shared" si="31"/>
        <v>57656.833337523189</v>
      </c>
      <c r="AH120" s="60">
        <f>'Combined Admin'!D119</f>
        <v>17500</v>
      </c>
      <c r="AI120" s="60">
        <f t="shared" si="34"/>
        <v>0</v>
      </c>
      <c r="AJ120" s="60">
        <f t="shared" si="32"/>
        <v>17500</v>
      </c>
      <c r="AK120" s="60">
        <f t="shared" si="33"/>
        <v>40156.833337523189</v>
      </c>
      <c r="AL120" s="62">
        <f t="shared" si="35"/>
        <v>316350.67081367958</v>
      </c>
    </row>
    <row r="121" spans="1:38" x14ac:dyDescent="0.25">
      <c r="A121" s="2">
        <v>114</v>
      </c>
      <c r="B121" s="36">
        <f t="shared" si="20"/>
        <v>10</v>
      </c>
      <c r="C121" s="11">
        <f>C120*(1+VLOOKUP(C$6,Data!$A$3:$G$8,6,0))^(1/12)</f>
        <v>5476.4301203883269</v>
      </c>
      <c r="D121" s="59">
        <f>C121*VLOOKUP(C$6,Data!$A$4:$G$8,3,FALSE)</f>
        <v>2738.2150601941635</v>
      </c>
      <c r="E121" s="37">
        <f>VLOOKUP(C$6,Data!$A$3:$G$8,5,FALSE)+IF($B121=refund_inc_year,refund_inc,0)</f>
        <v>7.0000000000000007E-2</v>
      </c>
      <c r="F121" s="58">
        <f t="shared" si="21"/>
        <v>383.35010842718293</v>
      </c>
      <c r="G121" s="75">
        <f>F121*VLOOKUP(C$6,Data!$A$4:$G$8,2,FALSE)</f>
        <v>1916.7505421359147</v>
      </c>
      <c r="H121" s="75">
        <f t="shared" si="22"/>
        <v>821.46451805824881</v>
      </c>
      <c r="I121" s="11">
        <f>I120*(1+VLOOKUP(I$6,Data!$A$3:$G$8,6,0))^(1/12)</f>
        <v>9933.3590287828974</v>
      </c>
      <c r="J121" s="59">
        <f>I121*VLOOKUP(I$6,Data!$A$4:$G$8,3,FALSE)</f>
        <v>2980.0077086348692</v>
      </c>
      <c r="K121" s="37">
        <f>VLOOKUP(I$6,Data!$A$3:$G$8,5,FALSE)+IF($B121=refund_inc_year,refund_inc,0)</f>
        <v>0.06</v>
      </c>
      <c r="L121" s="58">
        <f t="shared" si="23"/>
        <v>596.00154172697387</v>
      </c>
      <c r="M121" s="75">
        <f>L121*VLOOKUP(I$6,Data!$A$4:$G$8,2,FALSE)</f>
        <v>3576.0092503618434</v>
      </c>
      <c r="N121" s="75">
        <f t="shared" si="24"/>
        <v>-596.00154172697421</v>
      </c>
      <c r="O121" s="11">
        <f>O120*(1+VLOOKUP(O$6,Data!$A$3:$G$8,6,0))^(1/12)</f>
        <v>12167.139269354639</v>
      </c>
      <c r="P121" s="59">
        <f>O121*VLOOKUP(O$6,Data!$A$4:$G$8,3,FALSE)</f>
        <v>12167.139269354639</v>
      </c>
      <c r="Q121" s="37">
        <f>VLOOKUP(O$6,Data!$A$3:$G$8,5,FALSE)+IF($B121=refund_inc_year,refund_inc,0)</f>
        <v>0.05</v>
      </c>
      <c r="R121" s="58">
        <f t="shared" si="25"/>
        <v>608.35696346773193</v>
      </c>
      <c r="S121" s="75">
        <f>R121*VLOOKUP(O$6,Data!$A$4:$G$8,2,FALSE)</f>
        <v>4562.6772260079897</v>
      </c>
      <c r="T121" s="75">
        <f t="shared" si="26"/>
        <v>7604.4620433466489</v>
      </c>
      <c r="U121" s="11">
        <f>U120*(1+VLOOKUP(U$6,Data!$A$3:$G$8,6,0))^(1/12)</f>
        <v>12778.336947572772</v>
      </c>
      <c r="V121" s="59">
        <f>U121*VLOOKUP(U$6,Data!$A$4:$G$8,3,FALSE)</f>
        <v>31945.842368931932</v>
      </c>
      <c r="W121" s="37">
        <f>VLOOKUP(U$6,Data!$A$3:$G$8,5,FALSE)+IF($B121=refund_inc_year,refund_inc,0)</f>
        <v>7.0000000000000007E-2</v>
      </c>
      <c r="X121" s="58">
        <f t="shared" si="27"/>
        <v>894.48358633009411</v>
      </c>
      <c r="Y121" s="75">
        <f>X121*VLOOKUP(U$6,Data!$A$4:$G$8,2,FALSE)</f>
        <v>7603.1104838058</v>
      </c>
      <c r="Z121" s="75">
        <f t="shared" si="28"/>
        <v>24342.73188512613</v>
      </c>
      <c r="AA121" s="11">
        <f>AA120*(1+VLOOKUP(AA$6,Data!$A$3:$G$8,6,0))^(1/12)</f>
        <v>13137.978717791675</v>
      </c>
      <c r="AB121" s="59">
        <f>AA121*VLOOKUP(AA$6,Data!$A$4:$G$8,3,FALSE)</f>
        <v>36129.441473927109</v>
      </c>
      <c r="AC121" s="37">
        <f>VLOOKUP(AA$6,Data!$A$3:$G$8,5,FALSE)+IF($B121=refund_inc_year,refund_inc,0)</f>
        <v>0.08</v>
      </c>
      <c r="AD121" s="58">
        <f t="shared" si="29"/>
        <v>1051.0382974233339</v>
      </c>
      <c r="AE121" s="75">
        <f>AD121*VLOOKUP(AA$6,Data!$A$4:$G$8,2,FALSE)</f>
        <v>10510.38297423334</v>
      </c>
      <c r="AF121" s="75">
        <f t="shared" si="30"/>
        <v>25619.058499693769</v>
      </c>
      <c r="AG121" s="61">
        <f t="shared" si="31"/>
        <v>57791.715404497823</v>
      </c>
      <c r="AH121" s="60">
        <f>'Combined Admin'!D120</f>
        <v>17500</v>
      </c>
      <c r="AI121" s="60">
        <f t="shared" si="34"/>
        <v>0</v>
      </c>
      <c r="AJ121" s="60">
        <f t="shared" si="32"/>
        <v>17500</v>
      </c>
      <c r="AK121" s="60">
        <f t="shared" si="33"/>
        <v>40291.715404497823</v>
      </c>
      <c r="AL121" s="62">
        <f t="shared" si="35"/>
        <v>278106.15166450542</v>
      </c>
    </row>
    <row r="122" spans="1:38" x14ac:dyDescent="0.25">
      <c r="A122" s="2">
        <v>115</v>
      </c>
      <c r="B122" s="36">
        <f t="shared" si="20"/>
        <v>10</v>
      </c>
      <c r="C122" s="11">
        <f>C121*(1+VLOOKUP(C$6,Data!$A$3:$G$8,6,0))^(1/12)</f>
        <v>5485.4748899764327</v>
      </c>
      <c r="D122" s="59">
        <f>C122*VLOOKUP(C$6,Data!$A$4:$G$8,3,FALSE)</f>
        <v>2742.7374449882163</v>
      </c>
      <c r="E122" s="37">
        <f>VLOOKUP(C$6,Data!$A$3:$G$8,5,FALSE)+IF($B122=refund_inc_year,refund_inc,0)</f>
        <v>7.0000000000000007E-2</v>
      </c>
      <c r="F122" s="58">
        <f t="shared" si="21"/>
        <v>383.98324229835032</v>
      </c>
      <c r="G122" s="75">
        <f>F122*VLOOKUP(C$6,Data!$A$4:$G$8,2,FALSE)</f>
        <v>1919.9162114917517</v>
      </c>
      <c r="H122" s="75">
        <f t="shared" si="22"/>
        <v>822.82123349646463</v>
      </c>
      <c r="I122" s="11">
        <f>I121*(1+VLOOKUP(I$6,Data!$A$3:$G$8,6,0))^(1/12)</f>
        <v>9941.5991287007582</v>
      </c>
      <c r="J122" s="59">
        <f>I122*VLOOKUP(I$6,Data!$A$4:$G$8,3,FALSE)</f>
        <v>2982.4797386102273</v>
      </c>
      <c r="K122" s="37">
        <f>VLOOKUP(I$6,Data!$A$3:$G$8,5,FALSE)+IF($B122=refund_inc_year,refund_inc,0)</f>
        <v>0.06</v>
      </c>
      <c r="L122" s="58">
        <f t="shared" si="23"/>
        <v>596.49594772204546</v>
      </c>
      <c r="M122" s="75">
        <f>L122*VLOOKUP(I$6,Data!$A$4:$G$8,2,FALSE)</f>
        <v>3578.9756863322727</v>
      </c>
      <c r="N122" s="75">
        <f t="shared" si="24"/>
        <v>-596.49594772204546</v>
      </c>
      <c r="O122" s="11">
        <f>O121*(1+VLOOKUP(O$6,Data!$A$3:$G$8,6,0))^(1/12)</f>
        <v>12216.709700830877</v>
      </c>
      <c r="P122" s="59">
        <f>O122*VLOOKUP(O$6,Data!$A$4:$G$8,3,FALSE)</f>
        <v>12216.709700830877</v>
      </c>
      <c r="Q122" s="37">
        <f>VLOOKUP(O$6,Data!$A$3:$G$8,5,FALSE)+IF($B122=refund_inc_year,refund_inc,0)</f>
        <v>0.05</v>
      </c>
      <c r="R122" s="58">
        <f t="shared" si="25"/>
        <v>610.83548504154385</v>
      </c>
      <c r="S122" s="75">
        <f>R122*VLOOKUP(O$6,Data!$A$4:$G$8,2,FALSE)</f>
        <v>4581.266137811579</v>
      </c>
      <c r="T122" s="75">
        <f t="shared" si="26"/>
        <v>7635.4435630192984</v>
      </c>
      <c r="U122" s="11">
        <f>U121*(1+VLOOKUP(U$6,Data!$A$3:$G$8,6,0))^(1/12)</f>
        <v>12799.44140994502</v>
      </c>
      <c r="V122" s="59">
        <f>U122*VLOOKUP(U$6,Data!$A$4:$G$8,3,FALSE)</f>
        <v>31998.603524862552</v>
      </c>
      <c r="W122" s="37">
        <f>VLOOKUP(U$6,Data!$A$3:$G$8,5,FALSE)+IF($B122=refund_inc_year,refund_inc,0)</f>
        <v>7.0000000000000007E-2</v>
      </c>
      <c r="X122" s="58">
        <f t="shared" si="27"/>
        <v>895.9608986961515</v>
      </c>
      <c r="Y122" s="75">
        <f>X122*VLOOKUP(U$6,Data!$A$4:$G$8,2,FALSE)</f>
        <v>7615.6676389172881</v>
      </c>
      <c r="Z122" s="75">
        <f t="shared" si="28"/>
        <v>24382.935885945262</v>
      </c>
      <c r="AA122" s="11">
        <f>AA121*(1+VLOOKUP(AA$6,Data!$A$3:$G$8,6,0))^(1/12)</f>
        <v>13170.380517572534</v>
      </c>
      <c r="AB122" s="59">
        <f>AA122*VLOOKUP(AA$6,Data!$A$4:$G$8,3,FALSE)</f>
        <v>36218.546423324471</v>
      </c>
      <c r="AC122" s="37">
        <f>VLOOKUP(AA$6,Data!$A$3:$G$8,5,FALSE)+IF($B122=refund_inc_year,refund_inc,0)</f>
        <v>0.08</v>
      </c>
      <c r="AD122" s="58">
        <f t="shared" si="29"/>
        <v>1053.6304414058027</v>
      </c>
      <c r="AE122" s="75">
        <f>AD122*VLOOKUP(AA$6,Data!$A$4:$G$8,2,FALSE)</f>
        <v>10536.304414058028</v>
      </c>
      <c r="AF122" s="75">
        <f t="shared" si="30"/>
        <v>25682.242009266443</v>
      </c>
      <c r="AG122" s="61">
        <f t="shared" si="31"/>
        <v>57926.946744005429</v>
      </c>
      <c r="AH122" s="60">
        <f>'Combined Admin'!D121</f>
        <v>17500</v>
      </c>
      <c r="AI122" s="60">
        <f t="shared" si="34"/>
        <v>0</v>
      </c>
      <c r="AJ122" s="60">
        <f t="shared" si="32"/>
        <v>17500</v>
      </c>
      <c r="AK122" s="60">
        <f t="shared" si="33"/>
        <v>40426.946744005429</v>
      </c>
      <c r="AL122" s="62">
        <f t="shared" si="35"/>
        <v>239495.56542697691</v>
      </c>
    </row>
    <row r="123" spans="1:38" x14ac:dyDescent="0.25">
      <c r="A123" s="2">
        <v>116</v>
      </c>
      <c r="B123" s="36">
        <f t="shared" si="20"/>
        <v>10</v>
      </c>
      <c r="C123" s="11">
        <f>C122*(1+VLOOKUP(C$6,Data!$A$3:$G$8,6,0))^(1/12)</f>
        <v>5494.5345977368706</v>
      </c>
      <c r="D123" s="59">
        <f>C123*VLOOKUP(C$6,Data!$A$4:$G$8,3,FALSE)</f>
        <v>2747.2672988684353</v>
      </c>
      <c r="E123" s="37">
        <f>VLOOKUP(C$6,Data!$A$3:$G$8,5,FALSE)+IF($B123=refund_inc_year,refund_inc,0)</f>
        <v>7.0000000000000007E-2</v>
      </c>
      <c r="F123" s="58">
        <f t="shared" si="21"/>
        <v>384.61742184158101</v>
      </c>
      <c r="G123" s="75">
        <f>F123*VLOOKUP(C$6,Data!$A$4:$G$8,2,FALSE)</f>
        <v>1923.0871092079051</v>
      </c>
      <c r="H123" s="75">
        <f t="shared" si="22"/>
        <v>824.18018966053023</v>
      </c>
      <c r="I123" s="11">
        <f>I122*(1+VLOOKUP(I$6,Data!$A$3:$G$8,6,0))^(1/12)</f>
        <v>9949.8460640955655</v>
      </c>
      <c r="J123" s="59">
        <f>I123*VLOOKUP(I$6,Data!$A$4:$G$8,3,FALSE)</f>
        <v>2984.9538192286695</v>
      </c>
      <c r="K123" s="37">
        <f>VLOOKUP(I$6,Data!$A$3:$G$8,5,FALSE)+IF($B123=refund_inc_year,refund_inc,0)</f>
        <v>0.06</v>
      </c>
      <c r="L123" s="58">
        <f t="shared" si="23"/>
        <v>596.99076384573391</v>
      </c>
      <c r="M123" s="75">
        <f>L123*VLOOKUP(I$6,Data!$A$4:$G$8,2,FALSE)</f>
        <v>3581.9445830744035</v>
      </c>
      <c r="N123" s="75">
        <f t="shared" si="24"/>
        <v>-596.99076384573391</v>
      </c>
      <c r="O123" s="11">
        <f>O122*(1+VLOOKUP(O$6,Data!$A$3:$G$8,6,0))^(1/12)</f>
        <v>12266.482088380961</v>
      </c>
      <c r="P123" s="59">
        <f>O123*VLOOKUP(O$6,Data!$A$4:$G$8,3,FALSE)</f>
        <v>12266.482088380961</v>
      </c>
      <c r="Q123" s="37">
        <f>VLOOKUP(O$6,Data!$A$3:$G$8,5,FALSE)+IF($B123=refund_inc_year,refund_inc,0)</f>
        <v>0.05</v>
      </c>
      <c r="R123" s="58">
        <f t="shared" si="25"/>
        <v>613.32410441904801</v>
      </c>
      <c r="S123" s="75">
        <f>R123*VLOOKUP(O$6,Data!$A$4:$G$8,2,FALSE)</f>
        <v>4599.9307831428605</v>
      </c>
      <c r="T123" s="75">
        <f t="shared" si="26"/>
        <v>7666.5513052381002</v>
      </c>
      <c r="U123" s="11">
        <f>U122*(1+VLOOKUP(U$6,Data!$A$3:$G$8,6,0))^(1/12)</f>
        <v>12820.58072805271</v>
      </c>
      <c r="V123" s="59">
        <f>U123*VLOOKUP(U$6,Data!$A$4:$G$8,3,FALSE)</f>
        <v>32051.451820131773</v>
      </c>
      <c r="W123" s="37">
        <f>VLOOKUP(U$6,Data!$A$3:$G$8,5,FALSE)+IF($B123=refund_inc_year,refund_inc,0)</f>
        <v>7.0000000000000007E-2</v>
      </c>
      <c r="X123" s="58">
        <f t="shared" si="27"/>
        <v>897.44065096368979</v>
      </c>
      <c r="Y123" s="75">
        <f>X123*VLOOKUP(U$6,Data!$A$4:$G$8,2,FALSE)</f>
        <v>7628.2455331913634</v>
      </c>
      <c r="Z123" s="75">
        <f t="shared" si="28"/>
        <v>24423.206286940411</v>
      </c>
      <c r="AA123" s="11">
        <f>AA122*(1+VLOOKUP(AA$6,Data!$A$3:$G$8,6,0))^(1/12)</f>
        <v>13202.86222893276</v>
      </c>
      <c r="AB123" s="59">
        <f>AA123*VLOOKUP(AA$6,Data!$A$4:$G$8,3,FALSE)</f>
        <v>36307.871129565086</v>
      </c>
      <c r="AC123" s="37">
        <f>VLOOKUP(AA$6,Data!$A$3:$G$8,5,FALSE)+IF($B123=refund_inc_year,refund_inc,0)</f>
        <v>0.08</v>
      </c>
      <c r="AD123" s="58">
        <f t="shared" si="29"/>
        <v>1056.2289783146207</v>
      </c>
      <c r="AE123" s="75">
        <f>AD123*VLOOKUP(AA$6,Data!$A$4:$G$8,2,FALSE)</f>
        <v>10562.289783146207</v>
      </c>
      <c r="AF123" s="75">
        <f t="shared" si="30"/>
        <v>25745.58134641888</v>
      </c>
      <c r="AG123" s="61">
        <f t="shared" si="31"/>
        <v>58062.528364412181</v>
      </c>
      <c r="AH123" s="60">
        <f>'Combined Admin'!D122</f>
        <v>17500</v>
      </c>
      <c r="AI123" s="60">
        <f t="shared" si="34"/>
        <v>0</v>
      </c>
      <c r="AJ123" s="60">
        <f t="shared" si="32"/>
        <v>17500</v>
      </c>
      <c r="AK123" s="60">
        <f t="shared" si="33"/>
        <v>40562.528364412181</v>
      </c>
      <c r="AL123" s="62">
        <f t="shared" si="35"/>
        <v>200516.34998265453</v>
      </c>
    </row>
    <row r="124" spans="1:38" x14ac:dyDescent="0.25">
      <c r="A124" s="2">
        <v>117</v>
      </c>
      <c r="B124" s="36">
        <f t="shared" si="20"/>
        <v>10</v>
      </c>
      <c r="C124" s="11">
        <f>C123*(1+VLOOKUP(C$6,Data!$A$3:$G$8,6,0))^(1/12)</f>
        <v>5503.6092683412462</v>
      </c>
      <c r="D124" s="59">
        <f>C124*VLOOKUP(C$6,Data!$A$4:$G$8,3,FALSE)</f>
        <v>2751.8046341706231</v>
      </c>
      <c r="E124" s="37">
        <f>VLOOKUP(C$6,Data!$A$3:$G$8,5,FALSE)+IF($B124=refund_inc_year,refund_inc,0)</f>
        <v>7.0000000000000007E-2</v>
      </c>
      <c r="F124" s="58">
        <f t="shared" si="21"/>
        <v>385.25264878388725</v>
      </c>
      <c r="G124" s="75">
        <f>F124*VLOOKUP(C$6,Data!$A$4:$G$8,2,FALSE)</f>
        <v>1926.2632439194363</v>
      </c>
      <c r="H124" s="75">
        <f t="shared" si="22"/>
        <v>825.54139025118684</v>
      </c>
      <c r="I124" s="11">
        <f>I123*(1+VLOOKUP(I$6,Data!$A$3:$G$8,6,0))^(1/12)</f>
        <v>9958.0998406376093</v>
      </c>
      <c r="J124" s="59">
        <f>I124*VLOOKUP(I$6,Data!$A$4:$G$8,3,FALSE)</f>
        <v>2987.4299521912826</v>
      </c>
      <c r="K124" s="37">
        <f>VLOOKUP(I$6,Data!$A$3:$G$8,5,FALSE)+IF($B124=refund_inc_year,refund_inc,0)</f>
        <v>0.06</v>
      </c>
      <c r="L124" s="58">
        <f t="shared" si="23"/>
        <v>597.48599043825652</v>
      </c>
      <c r="M124" s="75">
        <f>L124*VLOOKUP(I$6,Data!$A$4:$G$8,2,FALSE)</f>
        <v>3584.9159426295391</v>
      </c>
      <c r="N124" s="75">
        <f t="shared" si="24"/>
        <v>-597.48599043825652</v>
      </c>
      <c r="O124" s="11">
        <f>O123*(1+VLOOKUP(O$6,Data!$A$3:$G$8,6,0))^(1/12)</f>
        <v>12316.45725479893</v>
      </c>
      <c r="P124" s="59">
        <f>O124*VLOOKUP(O$6,Data!$A$4:$G$8,3,FALSE)</f>
        <v>12316.45725479893</v>
      </c>
      <c r="Q124" s="37">
        <f>VLOOKUP(O$6,Data!$A$3:$G$8,5,FALSE)+IF($B124=refund_inc_year,refund_inc,0)</f>
        <v>0.05</v>
      </c>
      <c r="R124" s="58">
        <f t="shared" si="25"/>
        <v>615.82286273994657</v>
      </c>
      <c r="S124" s="75">
        <f>R124*VLOOKUP(O$6,Data!$A$4:$G$8,2,FALSE)</f>
        <v>4618.6714705495997</v>
      </c>
      <c r="T124" s="75">
        <f t="shared" si="26"/>
        <v>7697.7857842493304</v>
      </c>
      <c r="U124" s="11">
        <f>U123*(1+VLOOKUP(U$6,Data!$A$3:$G$8,6,0))^(1/12)</f>
        <v>12841.75495946292</v>
      </c>
      <c r="V124" s="59">
        <f>U124*VLOOKUP(U$6,Data!$A$4:$G$8,3,FALSE)</f>
        <v>32104.387398657302</v>
      </c>
      <c r="W124" s="37">
        <f>VLOOKUP(U$6,Data!$A$3:$G$8,5,FALSE)+IF($B124=refund_inc_year,refund_inc,0)</f>
        <v>7.0000000000000007E-2</v>
      </c>
      <c r="X124" s="58">
        <f t="shared" si="27"/>
        <v>898.92284716240454</v>
      </c>
      <c r="Y124" s="75">
        <f>X124*VLOOKUP(U$6,Data!$A$4:$G$8,2,FALSE)</f>
        <v>7640.8442008804386</v>
      </c>
      <c r="Z124" s="75">
        <f t="shared" si="28"/>
        <v>24463.543197776864</v>
      </c>
      <c r="AA124" s="11">
        <f>AA123*(1+VLOOKUP(AA$6,Data!$A$3:$G$8,6,0))^(1/12)</f>
        <v>13235.424048955867</v>
      </c>
      <c r="AB124" s="59">
        <f>AA124*VLOOKUP(AA$6,Data!$A$4:$G$8,3,FALSE)</f>
        <v>36397.416134628635</v>
      </c>
      <c r="AC124" s="37">
        <f>VLOOKUP(AA$6,Data!$A$3:$G$8,5,FALSE)+IF($B124=refund_inc_year,refund_inc,0)</f>
        <v>0.08</v>
      </c>
      <c r="AD124" s="58">
        <f t="shared" si="29"/>
        <v>1058.8339239164693</v>
      </c>
      <c r="AE124" s="75">
        <f>AD124*VLOOKUP(AA$6,Data!$A$4:$G$8,2,FALSE)</f>
        <v>10588.339239164692</v>
      </c>
      <c r="AF124" s="75">
        <f t="shared" si="30"/>
        <v>25809.076895463942</v>
      </c>
      <c r="AG124" s="61">
        <f t="shared" si="31"/>
        <v>58198.461277303068</v>
      </c>
      <c r="AH124" s="60">
        <f>'Combined Admin'!D123</f>
        <v>17500</v>
      </c>
      <c r="AI124" s="60">
        <f t="shared" si="34"/>
        <v>0</v>
      </c>
      <c r="AJ124" s="60">
        <f t="shared" si="32"/>
        <v>17500</v>
      </c>
      <c r="AK124" s="60">
        <f t="shared" si="33"/>
        <v>40698.461277303068</v>
      </c>
      <c r="AL124" s="62">
        <f t="shared" si="35"/>
        <v>161165.92671693405</v>
      </c>
    </row>
    <row r="125" spans="1:38" x14ac:dyDescent="0.25">
      <c r="A125" s="2">
        <v>118</v>
      </c>
      <c r="B125" s="36">
        <f t="shared" si="20"/>
        <v>10</v>
      </c>
      <c r="C125" s="11">
        <f>C124*(1+VLOOKUP(C$6,Data!$A$3:$G$8,6,0))^(1/12)</f>
        <v>5512.6989265019138</v>
      </c>
      <c r="D125" s="59">
        <f>C125*VLOOKUP(C$6,Data!$A$4:$G$8,3,FALSE)</f>
        <v>2756.3494632509569</v>
      </c>
      <c r="E125" s="37">
        <f>VLOOKUP(C$6,Data!$A$3:$G$8,5,FALSE)+IF($B125=refund_inc_year,refund_inc,0)</f>
        <v>7.0000000000000007E-2</v>
      </c>
      <c r="F125" s="58">
        <f t="shared" si="21"/>
        <v>385.88892485513401</v>
      </c>
      <c r="G125" s="75">
        <f>F125*VLOOKUP(C$6,Data!$A$4:$G$8,2,FALSE)</f>
        <v>1929.4446242756701</v>
      </c>
      <c r="H125" s="75">
        <f t="shared" si="22"/>
        <v>826.90483897528679</v>
      </c>
      <c r="I125" s="11">
        <f>I124*(1+VLOOKUP(I$6,Data!$A$3:$G$8,6,0))^(1/12)</f>
        <v>9966.3604640018821</v>
      </c>
      <c r="J125" s="59">
        <f>I125*VLOOKUP(I$6,Data!$A$4:$G$8,3,FALSE)</f>
        <v>2989.9081392005646</v>
      </c>
      <c r="K125" s="37">
        <f>VLOOKUP(I$6,Data!$A$3:$G$8,5,FALSE)+IF($B125=refund_inc_year,refund_inc,0)</f>
        <v>0.06</v>
      </c>
      <c r="L125" s="58">
        <f t="shared" si="23"/>
        <v>597.98162784011288</v>
      </c>
      <c r="M125" s="75">
        <f>L125*VLOOKUP(I$6,Data!$A$4:$G$8,2,FALSE)</f>
        <v>3587.8897670406773</v>
      </c>
      <c r="N125" s="75">
        <f t="shared" si="24"/>
        <v>-597.98162784011265</v>
      </c>
      <c r="O125" s="11">
        <f>O124*(1+VLOOKUP(O$6,Data!$A$3:$G$8,6,0))^(1/12)</f>
        <v>12366.636026230995</v>
      </c>
      <c r="P125" s="59">
        <f>O125*VLOOKUP(O$6,Data!$A$4:$G$8,3,FALSE)</f>
        <v>12366.636026230995</v>
      </c>
      <c r="Q125" s="37">
        <f>VLOOKUP(O$6,Data!$A$3:$G$8,5,FALSE)+IF($B125=refund_inc_year,refund_inc,0)</f>
        <v>0.05</v>
      </c>
      <c r="R125" s="58">
        <f t="shared" si="25"/>
        <v>618.33180131154984</v>
      </c>
      <c r="S125" s="75">
        <f>R125*VLOOKUP(O$6,Data!$A$4:$G$8,2,FALSE)</f>
        <v>4637.488509836624</v>
      </c>
      <c r="T125" s="75">
        <f t="shared" si="26"/>
        <v>7729.1475163943715</v>
      </c>
      <c r="U125" s="11">
        <f>U124*(1+VLOOKUP(U$6,Data!$A$3:$G$8,6,0))^(1/12)</f>
        <v>12862.96416183781</v>
      </c>
      <c r="V125" s="59">
        <f>U125*VLOOKUP(U$6,Data!$A$4:$G$8,3,FALSE)</f>
        <v>32157.410404594524</v>
      </c>
      <c r="W125" s="37">
        <f>VLOOKUP(U$6,Data!$A$3:$G$8,5,FALSE)+IF($B125=refund_inc_year,refund_inc,0)</f>
        <v>7.0000000000000007E-2</v>
      </c>
      <c r="X125" s="58">
        <f t="shared" si="27"/>
        <v>900.40749132864676</v>
      </c>
      <c r="Y125" s="75">
        <f>X125*VLOOKUP(U$6,Data!$A$4:$G$8,2,FALSE)</f>
        <v>7653.463676293497</v>
      </c>
      <c r="Z125" s="75">
        <f t="shared" si="28"/>
        <v>24503.946728301027</v>
      </c>
      <c r="AA125" s="11">
        <f>AA124*(1+VLOOKUP(AA$6,Data!$A$3:$G$8,6,0))^(1/12)</f>
        <v>13268.066175211428</v>
      </c>
      <c r="AB125" s="59">
        <f>AA125*VLOOKUP(AA$6,Data!$A$4:$G$8,3,FALSE)</f>
        <v>36487.181981831425</v>
      </c>
      <c r="AC125" s="37">
        <f>VLOOKUP(AA$6,Data!$A$3:$G$8,5,FALSE)+IF($B125=refund_inc_year,refund_inc,0)</f>
        <v>0.08</v>
      </c>
      <c r="AD125" s="58">
        <f t="shared" si="29"/>
        <v>1061.4452940169142</v>
      </c>
      <c r="AE125" s="75">
        <f>AD125*VLOOKUP(AA$6,Data!$A$4:$G$8,2,FALSE)</f>
        <v>10614.452940169142</v>
      </c>
      <c r="AF125" s="75">
        <f t="shared" si="30"/>
        <v>25872.729041662285</v>
      </c>
      <c r="AG125" s="61">
        <f t="shared" si="31"/>
        <v>58334.746497492859</v>
      </c>
      <c r="AH125" s="60">
        <f>'Combined Admin'!D124</f>
        <v>17500</v>
      </c>
      <c r="AI125" s="60">
        <f t="shared" si="34"/>
        <v>0</v>
      </c>
      <c r="AJ125" s="60">
        <f t="shared" si="32"/>
        <v>17500</v>
      </c>
      <c r="AK125" s="60">
        <f t="shared" si="33"/>
        <v>40834.746497492859</v>
      </c>
      <c r="AL125" s="62">
        <f t="shared" si="35"/>
        <v>121441.70041610977</v>
      </c>
    </row>
    <row r="126" spans="1:38" x14ac:dyDescent="0.25">
      <c r="A126" s="2">
        <v>119</v>
      </c>
      <c r="B126" s="36">
        <f t="shared" si="20"/>
        <v>10</v>
      </c>
      <c r="C126" s="11">
        <f>C125*(1+VLOOKUP(C$6,Data!$A$3:$G$8,6,0))^(1/12)</f>
        <v>5521.8035969720404</v>
      </c>
      <c r="D126" s="59">
        <f>C126*VLOOKUP(C$6,Data!$A$4:$G$8,3,FALSE)</f>
        <v>2760.9017984860202</v>
      </c>
      <c r="E126" s="37">
        <f>VLOOKUP(C$6,Data!$A$3:$G$8,5,FALSE)+IF($B126=refund_inc_year,refund_inc,0)</f>
        <v>7.0000000000000007E-2</v>
      </c>
      <c r="F126" s="58">
        <f t="shared" si="21"/>
        <v>386.52625178804288</v>
      </c>
      <c r="G126" s="75">
        <f>F126*VLOOKUP(C$6,Data!$A$4:$G$8,2,FALSE)</f>
        <v>1932.6312589402144</v>
      </c>
      <c r="H126" s="75">
        <f t="shared" si="22"/>
        <v>828.27053954580583</v>
      </c>
      <c r="I126" s="11">
        <f>I125*(1+VLOOKUP(I$6,Data!$A$3:$G$8,6,0))^(1/12)</f>
        <v>9974.6279398680836</v>
      </c>
      <c r="J126" s="59">
        <f>I126*VLOOKUP(I$6,Data!$A$4:$G$8,3,FALSE)</f>
        <v>2992.3883819604248</v>
      </c>
      <c r="K126" s="37">
        <f>VLOOKUP(I$6,Data!$A$3:$G$8,5,FALSE)+IF($B126=refund_inc_year,refund_inc,0)</f>
        <v>0.06</v>
      </c>
      <c r="L126" s="58">
        <f t="shared" si="23"/>
        <v>598.47767639208496</v>
      </c>
      <c r="M126" s="75">
        <f>L126*VLOOKUP(I$6,Data!$A$4:$G$8,2,FALSE)</f>
        <v>3590.8660583525098</v>
      </c>
      <c r="N126" s="75">
        <f t="shared" si="24"/>
        <v>-598.47767639208496</v>
      </c>
      <c r="O126" s="11">
        <f>O125*(1+VLOOKUP(O$6,Data!$A$3:$G$8,6,0))^(1/12)</f>
        <v>12417.019232189186</v>
      </c>
      <c r="P126" s="59">
        <f>O126*VLOOKUP(O$6,Data!$A$4:$G$8,3,FALSE)</f>
        <v>12417.019232189186</v>
      </c>
      <c r="Q126" s="37">
        <f>VLOOKUP(O$6,Data!$A$3:$G$8,5,FALSE)+IF($B126=refund_inc_year,refund_inc,0)</f>
        <v>0.05</v>
      </c>
      <c r="R126" s="58">
        <f t="shared" si="25"/>
        <v>620.85096160945932</v>
      </c>
      <c r="S126" s="75">
        <f>R126*VLOOKUP(O$6,Data!$A$4:$G$8,2,FALSE)</f>
        <v>4656.3822120709447</v>
      </c>
      <c r="T126" s="75">
        <f t="shared" si="26"/>
        <v>7760.6370201182417</v>
      </c>
      <c r="U126" s="11">
        <f>U125*(1+VLOOKUP(U$6,Data!$A$3:$G$8,6,0))^(1/12)</f>
        <v>12884.208392934772</v>
      </c>
      <c r="V126" s="59">
        <f>U126*VLOOKUP(U$6,Data!$A$4:$G$8,3,FALSE)</f>
        <v>32210.52098233693</v>
      </c>
      <c r="W126" s="37">
        <f>VLOOKUP(U$6,Data!$A$3:$G$8,5,FALSE)+IF($B126=refund_inc_year,refund_inc,0)</f>
        <v>7.0000000000000007E-2</v>
      </c>
      <c r="X126" s="58">
        <f t="shared" si="27"/>
        <v>901.89458750543406</v>
      </c>
      <c r="Y126" s="75">
        <f>X126*VLOOKUP(U$6,Data!$A$4:$G$8,2,FALSE)</f>
        <v>7666.1039937961896</v>
      </c>
      <c r="Z126" s="75">
        <f t="shared" si="28"/>
        <v>24544.416988540739</v>
      </c>
      <c r="AA126" s="11">
        <f>AA125*(1+VLOOKUP(AA$6,Data!$A$3:$G$8,6,0))^(1/12)</f>
        <v>13300.788805756278</v>
      </c>
      <c r="AB126" s="59">
        <f>AA126*VLOOKUP(AA$6,Data!$A$4:$G$8,3,FALSE)</f>
        <v>36577.169215829766</v>
      </c>
      <c r="AC126" s="37">
        <f>VLOOKUP(AA$6,Data!$A$3:$G$8,5,FALSE)+IF($B126=refund_inc_year,refund_inc,0)</f>
        <v>0.08</v>
      </c>
      <c r="AD126" s="58">
        <f t="shared" si="29"/>
        <v>1064.0631044605022</v>
      </c>
      <c r="AE126" s="75">
        <f>AD126*VLOOKUP(AA$6,Data!$A$4:$G$8,2,FALSE)</f>
        <v>10640.631044605023</v>
      </c>
      <c r="AF126" s="75">
        <f t="shared" si="30"/>
        <v>25936.538171224744</v>
      </c>
      <c r="AG126" s="61">
        <f t="shared" si="31"/>
        <v>58471.385043037444</v>
      </c>
      <c r="AH126" s="60">
        <f>'Combined Admin'!D125</f>
        <v>17500</v>
      </c>
      <c r="AI126" s="60">
        <f t="shared" si="34"/>
        <v>0</v>
      </c>
      <c r="AJ126" s="60">
        <f t="shared" si="32"/>
        <v>17500</v>
      </c>
      <c r="AK126" s="60">
        <f t="shared" si="33"/>
        <v>40971.385043037444</v>
      </c>
      <c r="AL126" s="62">
        <f t="shared" si="35"/>
        <v>81341.059163804588</v>
      </c>
    </row>
    <row r="127" spans="1:38" ht="15.75" thickBot="1" x14ac:dyDescent="0.3">
      <c r="A127" s="3">
        <v>120</v>
      </c>
      <c r="B127" s="42">
        <f t="shared" si="20"/>
        <v>10</v>
      </c>
      <c r="C127" s="11">
        <f>C126*(1+VLOOKUP(C$6,Data!$A$3:$G$8,6,0))^(1/12)</f>
        <v>5530.9233045456749</v>
      </c>
      <c r="D127" s="63">
        <f>C127*VLOOKUP(C$6,Data!$A$4:$G$8,3,FALSE)</f>
        <v>2765.4616522728375</v>
      </c>
      <c r="E127" s="64">
        <f>VLOOKUP(C$6,Data!$A$3:$G$8,5,FALSE)+IF($B127=refund_inc_year,refund_inc,0)</f>
        <v>7.0000000000000007E-2</v>
      </c>
      <c r="F127" s="65">
        <f t="shared" si="21"/>
        <v>387.16463131819728</v>
      </c>
      <c r="G127" s="76">
        <f>F127*VLOOKUP(C$6,Data!$A$4:$G$8,2,FALSE)</f>
        <v>1935.8231565909864</v>
      </c>
      <c r="H127" s="76">
        <f t="shared" si="22"/>
        <v>829.63849568185105</v>
      </c>
      <c r="I127" s="11">
        <f>I126*(1+VLOOKUP(I$6,Data!$A$3:$G$8,6,0))^(1/12)</f>
        <v>9982.9022739206266</v>
      </c>
      <c r="J127" s="63">
        <f>I127*VLOOKUP(I$6,Data!$A$4:$G$8,3,FALSE)</f>
        <v>2994.870682176188</v>
      </c>
      <c r="K127" s="64">
        <f>VLOOKUP(I$6,Data!$A$3:$G$8,5,FALSE)+IF($B127=refund_inc_year,refund_inc,0)</f>
        <v>0.06</v>
      </c>
      <c r="L127" s="65">
        <f t="shared" si="23"/>
        <v>598.9741364352376</v>
      </c>
      <c r="M127" s="76">
        <f>L127*VLOOKUP(I$6,Data!$A$4:$G$8,2,FALSE)</f>
        <v>3593.8448186114256</v>
      </c>
      <c r="N127" s="76">
        <f t="shared" si="24"/>
        <v>-598.9741364352376</v>
      </c>
      <c r="O127" s="11">
        <f>O126*(1+VLOOKUP(O$6,Data!$A$3:$G$8,6,0))^(1/12)</f>
        <v>12467.607705565068</v>
      </c>
      <c r="P127" s="63">
        <f>O127*VLOOKUP(O$6,Data!$A$4:$G$8,3,FALSE)</f>
        <v>12467.607705565068</v>
      </c>
      <c r="Q127" s="64">
        <f>VLOOKUP(O$6,Data!$A$3:$G$8,5,FALSE)+IF($B127=refund_inc_year,refund_inc,0)</f>
        <v>0.05</v>
      </c>
      <c r="R127" s="65">
        <f t="shared" si="25"/>
        <v>623.38038527825347</v>
      </c>
      <c r="S127" s="76">
        <f>R127*VLOOKUP(O$6,Data!$A$4:$G$8,2,FALSE)</f>
        <v>4675.3528895869013</v>
      </c>
      <c r="T127" s="76">
        <f t="shared" si="26"/>
        <v>7792.2548159781663</v>
      </c>
      <c r="U127" s="11">
        <f>U126*(1+VLOOKUP(U$6,Data!$A$3:$G$8,6,0))^(1/12)</f>
        <v>12905.487710606587</v>
      </c>
      <c r="V127" s="63">
        <f>U127*VLOOKUP(U$6,Data!$A$4:$G$8,3,FALSE)</f>
        <v>32263.719276516465</v>
      </c>
      <c r="W127" s="64">
        <f>VLOOKUP(U$6,Data!$A$3:$G$8,5,FALSE)+IF($B127=refund_inc_year,refund_inc,0)</f>
        <v>7.0000000000000007E-2</v>
      </c>
      <c r="X127" s="65">
        <f t="shared" si="27"/>
        <v>903.38413974246112</v>
      </c>
      <c r="Y127" s="76">
        <f>X127*VLOOKUP(U$6,Data!$A$4:$G$8,2,FALSE)</f>
        <v>7678.7651878109191</v>
      </c>
      <c r="Z127" s="76">
        <f t="shared" si="28"/>
        <v>24584.954088705548</v>
      </c>
      <c r="AA127" s="11">
        <f>AA126*(1+VLOOKUP(AA$6,Data!$A$3:$G$8,6,0))^(1/12)</f>
        <v>13333.59213913571</v>
      </c>
      <c r="AB127" s="63">
        <f>AA127*VLOOKUP(AA$6,Data!$A$4:$G$8,3,FALSE)</f>
        <v>36667.378382623203</v>
      </c>
      <c r="AC127" s="64">
        <f>VLOOKUP(AA$6,Data!$A$3:$G$8,5,FALSE)+IF($B127=refund_inc_year,refund_inc,0)</f>
        <v>0.08</v>
      </c>
      <c r="AD127" s="65">
        <f t="shared" si="29"/>
        <v>1066.6873711308567</v>
      </c>
      <c r="AE127" s="76">
        <f>AD127*VLOOKUP(AA$6,Data!$A$4:$G$8,2,FALSE)</f>
        <v>10666.873711308566</v>
      </c>
      <c r="AF127" s="76">
        <f t="shared" si="30"/>
        <v>26000.504671314637</v>
      </c>
      <c r="AG127" s="74">
        <f t="shared" si="31"/>
        <v>58608.377935244964</v>
      </c>
      <c r="AH127" s="72">
        <f>'Combined Admin'!D126</f>
        <v>17500</v>
      </c>
      <c r="AI127" s="72">
        <f t="shared" si="34"/>
        <v>0</v>
      </c>
      <c r="AJ127" s="72">
        <f t="shared" si="32"/>
        <v>17500</v>
      </c>
      <c r="AK127" s="72">
        <f t="shared" si="33"/>
        <v>41108.377935244964</v>
      </c>
      <c r="AL127" s="73">
        <f t="shared" si="35"/>
        <v>40861.374236762458</v>
      </c>
    </row>
  </sheetData>
  <mergeCells count="5">
    <mergeCell ref="C6:H6"/>
    <mergeCell ref="I6:N6"/>
    <mergeCell ref="O6:T6"/>
    <mergeCell ref="U6:Z6"/>
    <mergeCell ref="AA6:AF6"/>
  </mergeCells>
  <pageMargins left="0.7" right="0.7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8" ma:contentTypeDescription="Create a new document." ma:contentTypeScope="" ma:versionID="b08e20e0e103d3365380b6bf0cb7795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4161753d28f9dc3453ace73f600077b4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0C56DC64-EB74-4CFC-9EF1-01279CD62D8C}"/>
</file>

<file path=customXml/itemProps2.xml><?xml version="1.0" encoding="utf-8"?>
<ds:datastoreItem xmlns:ds="http://schemas.openxmlformats.org/officeDocument/2006/customXml" ds:itemID="{0E200AE0-2D7A-422F-9509-B8D9BA1F1F35}"/>
</file>

<file path=customXml/itemProps3.xml><?xml version="1.0" encoding="utf-8"?>
<ds:datastoreItem xmlns:ds="http://schemas.openxmlformats.org/officeDocument/2006/customXml" ds:itemID="{409CA704-3870-4EC1-8C0A-7DB7EC6815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Data</vt:lpstr>
      <vt:lpstr>Parameters</vt:lpstr>
      <vt:lpstr>Base Price</vt:lpstr>
      <vt:lpstr>Combined Admin</vt:lpstr>
      <vt:lpstr>Improvement works</vt:lpstr>
      <vt:lpstr>admin_saving</vt:lpstr>
      <vt:lpstr>admin_saving_year</vt:lpstr>
      <vt:lpstr>Base_Price</vt:lpstr>
      <vt:lpstr>disc_rate</vt:lpstr>
      <vt:lpstr>fixed_exp</vt:lpstr>
      <vt:lpstr>imp_cost</vt:lpstr>
      <vt:lpstr>imp_cost_year</vt:lpstr>
      <vt:lpstr>refund_inc</vt:lpstr>
      <vt:lpstr>refund_inc_year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Assignment SB01 Spreadsheet</dc:title>
  <dc:creator>CA2 Guru</dc:creator>
  <dc:description>Specimen model for assignment SB01</dc:description>
  <cp:lastModifiedBy>David Hopkins</cp:lastModifiedBy>
  <cp:lastPrinted>2010-06-10T16:46:07Z</cp:lastPrinted>
  <dcterms:created xsi:type="dcterms:W3CDTF">2009-06-24T07:05:01Z</dcterms:created>
  <dcterms:modified xsi:type="dcterms:W3CDTF">2019-11-05T15:24:07Z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